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-20" yWindow="-20" windowWidth="29920" windowHeight="20960"/>
  </bookViews>
  <sheets>
    <sheet name="Analysis of Historical data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22" i="1"/>
  <c r="E122"/>
  <c r="F122"/>
  <c r="G122"/>
  <c r="H122"/>
  <c r="I122"/>
  <c r="J122"/>
  <c r="K122"/>
  <c r="L122"/>
  <c r="M122"/>
  <c r="D10"/>
  <c r="D11"/>
  <c r="D8"/>
  <c r="D123"/>
  <c r="E9"/>
  <c r="E10"/>
  <c r="E11"/>
  <c r="E8"/>
  <c r="E140"/>
  <c r="E123"/>
  <c r="F9"/>
  <c r="F8"/>
  <c r="F140"/>
  <c r="F123"/>
  <c r="G9"/>
  <c r="G8"/>
  <c r="G140"/>
  <c r="G123"/>
  <c r="H9"/>
  <c r="H11"/>
  <c r="H8"/>
  <c r="H140"/>
  <c r="H84"/>
  <c r="H123"/>
  <c r="I9"/>
  <c r="I10"/>
  <c r="I11"/>
  <c r="I8"/>
  <c r="I140"/>
  <c r="I84"/>
  <c r="I123"/>
  <c r="J9"/>
  <c r="J11"/>
  <c r="J8"/>
  <c r="J140"/>
  <c r="J84"/>
  <c r="J123"/>
  <c r="K9"/>
  <c r="K10"/>
  <c r="K11"/>
  <c r="K8"/>
  <c r="K140"/>
  <c r="K123"/>
  <c r="L9"/>
  <c r="L11"/>
  <c r="L8"/>
  <c r="L140"/>
  <c r="L123"/>
  <c r="M123"/>
  <c r="D120"/>
  <c r="E120"/>
  <c r="F120"/>
  <c r="G120"/>
  <c r="H120"/>
  <c r="I120"/>
  <c r="J120"/>
  <c r="K120"/>
  <c r="L120"/>
  <c r="M120"/>
  <c r="D119"/>
  <c r="E119"/>
  <c r="F119"/>
  <c r="G71"/>
  <c r="G119"/>
  <c r="H71"/>
  <c r="H119"/>
  <c r="I71"/>
  <c r="I119"/>
  <c r="J71"/>
  <c r="J119"/>
  <c r="K119"/>
  <c r="L119"/>
  <c r="M119"/>
  <c r="D112"/>
  <c r="D113"/>
  <c r="D114"/>
  <c r="D116"/>
  <c r="D117"/>
  <c r="E112"/>
  <c r="E113"/>
  <c r="E114"/>
  <c r="E116"/>
  <c r="E117"/>
  <c r="F112"/>
  <c r="F113"/>
  <c r="F114"/>
  <c r="F116"/>
  <c r="F117"/>
  <c r="G112"/>
  <c r="G113"/>
  <c r="G114"/>
  <c r="G116"/>
  <c r="G117"/>
  <c r="H112"/>
  <c r="H113"/>
  <c r="H114"/>
  <c r="H116"/>
  <c r="H117"/>
  <c r="I112"/>
  <c r="I113"/>
  <c r="I114"/>
  <c r="I116"/>
  <c r="I117"/>
  <c r="J112"/>
  <c r="J113"/>
  <c r="J114"/>
  <c r="J116"/>
  <c r="J117"/>
  <c r="K112"/>
  <c r="K113"/>
  <c r="K114"/>
  <c r="K116"/>
  <c r="K117"/>
  <c r="L112"/>
  <c r="L113"/>
  <c r="L114"/>
  <c r="L116"/>
  <c r="L117"/>
  <c r="M117"/>
  <c r="E15"/>
  <c r="E17"/>
  <c r="E128"/>
  <c r="E129"/>
  <c r="D129"/>
  <c r="E133"/>
  <c r="E138"/>
  <c r="E137"/>
  <c r="E139"/>
  <c r="E141"/>
  <c r="E174"/>
  <c r="E175"/>
  <c r="F15"/>
  <c r="F17"/>
  <c r="F128"/>
  <c r="F129"/>
  <c r="F133"/>
  <c r="F138"/>
  <c r="F137"/>
  <c r="F139"/>
  <c r="F141"/>
  <c r="F174"/>
  <c r="F175"/>
  <c r="E177"/>
  <c r="E178"/>
  <c r="F177"/>
  <c r="F178"/>
  <c r="F180"/>
  <c r="G15"/>
  <c r="G17"/>
  <c r="G128"/>
  <c r="G129"/>
  <c r="G133"/>
  <c r="G138"/>
  <c r="G137"/>
  <c r="G139"/>
  <c r="G141"/>
  <c r="G174"/>
  <c r="G175"/>
  <c r="G177"/>
  <c r="G178"/>
  <c r="G180"/>
  <c r="H15"/>
  <c r="H17"/>
  <c r="H128"/>
  <c r="H129"/>
  <c r="H133"/>
  <c r="H138"/>
  <c r="H18"/>
  <c r="H137"/>
  <c r="H139"/>
  <c r="H141"/>
  <c r="H174"/>
  <c r="H175"/>
  <c r="H177"/>
  <c r="H178"/>
  <c r="H180"/>
  <c r="I15"/>
  <c r="I17"/>
  <c r="I128"/>
  <c r="I129"/>
  <c r="I133"/>
  <c r="I138"/>
  <c r="I137"/>
  <c r="I139"/>
  <c r="I141"/>
  <c r="I174"/>
  <c r="I175"/>
  <c r="I177"/>
  <c r="I178"/>
  <c r="I180"/>
  <c r="J15"/>
  <c r="J17"/>
  <c r="J128"/>
  <c r="J129"/>
  <c r="J133"/>
  <c r="J138"/>
  <c r="J137"/>
  <c r="J139"/>
  <c r="J141"/>
  <c r="J174"/>
  <c r="J175"/>
  <c r="J177"/>
  <c r="J178"/>
  <c r="J180"/>
  <c r="K15"/>
  <c r="K17"/>
  <c r="K128"/>
  <c r="K129"/>
  <c r="K133"/>
  <c r="K138"/>
  <c r="K137"/>
  <c r="K139"/>
  <c r="K141"/>
  <c r="K174"/>
  <c r="K175"/>
  <c r="K177"/>
  <c r="K178"/>
  <c r="K180"/>
  <c r="L15"/>
  <c r="L17"/>
  <c r="L128"/>
  <c r="L129"/>
  <c r="L133"/>
  <c r="L138"/>
  <c r="L137"/>
  <c r="L139"/>
  <c r="L141"/>
  <c r="L174"/>
  <c r="L175"/>
  <c r="L177"/>
  <c r="L178"/>
  <c r="L180"/>
  <c r="E180"/>
  <c r="M178"/>
  <c r="M175"/>
  <c r="D15"/>
  <c r="D17"/>
  <c r="D60"/>
  <c r="D61"/>
  <c r="D79"/>
  <c r="D55"/>
  <c r="D62"/>
  <c r="D64"/>
  <c r="E60"/>
  <c r="E61"/>
  <c r="E19"/>
  <c r="E21"/>
  <c r="E23"/>
  <c r="E81"/>
  <c r="E79"/>
  <c r="E55"/>
  <c r="E62"/>
  <c r="E64"/>
  <c r="F60"/>
  <c r="F61"/>
  <c r="F19"/>
  <c r="F21"/>
  <c r="F23"/>
  <c r="F81"/>
  <c r="F79"/>
  <c r="F55"/>
  <c r="F62"/>
  <c r="F64"/>
  <c r="G60"/>
  <c r="G61"/>
  <c r="G19"/>
  <c r="G21"/>
  <c r="G23"/>
  <c r="G81"/>
  <c r="G79"/>
  <c r="G55"/>
  <c r="G62"/>
  <c r="G64"/>
  <c r="H60"/>
  <c r="H61"/>
  <c r="H19"/>
  <c r="H21"/>
  <c r="H23"/>
  <c r="H81"/>
  <c r="H79"/>
  <c r="H55"/>
  <c r="H62"/>
  <c r="H64"/>
  <c r="I60"/>
  <c r="I61"/>
  <c r="I19"/>
  <c r="I21"/>
  <c r="I23"/>
  <c r="I81"/>
  <c r="I79"/>
  <c r="I55"/>
  <c r="I62"/>
  <c r="I64"/>
  <c r="J60"/>
  <c r="J61"/>
  <c r="J19"/>
  <c r="J21"/>
  <c r="J23"/>
  <c r="J81"/>
  <c r="J79"/>
  <c r="J55"/>
  <c r="J62"/>
  <c r="J64"/>
  <c r="K60"/>
  <c r="K61"/>
  <c r="K19"/>
  <c r="K21"/>
  <c r="K23"/>
  <c r="K81"/>
  <c r="K79"/>
  <c r="K55"/>
  <c r="K62"/>
  <c r="K64"/>
  <c r="L60"/>
  <c r="L61"/>
  <c r="L19"/>
  <c r="L21"/>
  <c r="L23"/>
  <c r="L81"/>
  <c r="L79"/>
  <c r="L55"/>
  <c r="L62"/>
  <c r="L64"/>
  <c r="M64"/>
  <c r="D19"/>
  <c r="D21"/>
  <c r="D54"/>
  <c r="D57"/>
  <c r="E54"/>
  <c r="E57"/>
  <c r="F54"/>
  <c r="F57"/>
  <c r="G54"/>
  <c r="G57"/>
  <c r="H54"/>
  <c r="H57"/>
  <c r="I54"/>
  <c r="I57"/>
  <c r="J54"/>
  <c r="J57"/>
  <c r="K54"/>
  <c r="K57"/>
  <c r="L54"/>
  <c r="L57"/>
  <c r="M57"/>
  <c r="D48"/>
  <c r="E48"/>
  <c r="F48"/>
  <c r="G48"/>
  <c r="H48"/>
  <c r="I48"/>
  <c r="J48"/>
  <c r="K48"/>
  <c r="L48"/>
  <c r="M48"/>
  <c r="D47"/>
  <c r="E47"/>
  <c r="F47"/>
  <c r="G47"/>
  <c r="H47"/>
  <c r="I47"/>
  <c r="J47"/>
  <c r="K47"/>
  <c r="L47"/>
  <c r="M47"/>
  <c r="D46"/>
  <c r="E46"/>
  <c r="F46"/>
  <c r="G46"/>
  <c r="H46"/>
  <c r="I46"/>
  <c r="J46"/>
  <c r="K46"/>
  <c r="L46"/>
  <c r="M46"/>
  <c r="D45"/>
  <c r="E45"/>
  <c r="F45"/>
  <c r="G45"/>
  <c r="H45"/>
  <c r="I45"/>
  <c r="J45"/>
  <c r="K45"/>
  <c r="L45"/>
  <c r="M45"/>
  <c r="D44"/>
  <c r="E44"/>
  <c r="F44"/>
  <c r="G44"/>
  <c r="H44"/>
  <c r="I44"/>
  <c r="J44"/>
  <c r="K44"/>
  <c r="L44"/>
  <c r="M44"/>
  <c r="L70"/>
  <c r="K70"/>
  <c r="J70"/>
  <c r="L146"/>
  <c r="K146"/>
  <c r="J146"/>
  <c r="I146"/>
  <c r="H146"/>
  <c r="J145"/>
  <c r="F70"/>
  <c r="E70"/>
  <c r="D34"/>
  <c r="E34"/>
  <c r="F34"/>
  <c r="G34"/>
  <c r="H34"/>
  <c r="I34"/>
  <c r="J34"/>
  <c r="K34"/>
  <c r="L34"/>
  <c r="M34"/>
  <c r="D36"/>
  <c r="E36"/>
  <c r="F36"/>
  <c r="G36"/>
  <c r="H36"/>
  <c r="I36"/>
  <c r="J36"/>
  <c r="K36"/>
  <c r="L36"/>
  <c r="M36"/>
  <c r="D38"/>
  <c r="E38"/>
  <c r="F38"/>
  <c r="G38"/>
  <c r="H38"/>
  <c r="I38"/>
  <c r="J38"/>
  <c r="K38"/>
  <c r="L38"/>
  <c r="M38"/>
  <c r="D30"/>
  <c r="D31"/>
  <c r="D32"/>
  <c r="E30"/>
  <c r="E31"/>
  <c r="E32"/>
  <c r="F30"/>
  <c r="F31"/>
  <c r="F32"/>
  <c r="G30"/>
  <c r="G31"/>
  <c r="G32"/>
  <c r="H30"/>
  <c r="H31"/>
  <c r="H32"/>
  <c r="I30"/>
  <c r="I31"/>
  <c r="I32"/>
  <c r="J30"/>
  <c r="J31"/>
  <c r="J32"/>
  <c r="K30"/>
  <c r="K31"/>
  <c r="K32"/>
  <c r="L30"/>
  <c r="L31"/>
  <c r="L32"/>
  <c r="M32"/>
  <c r="M30"/>
  <c r="L24"/>
  <c r="K24"/>
  <c r="D168"/>
  <c r="E165"/>
  <c r="E166"/>
  <c r="E168"/>
  <c r="F165"/>
  <c r="F166"/>
  <c r="F168"/>
  <c r="G165"/>
  <c r="G166"/>
  <c r="G168"/>
  <c r="H165"/>
  <c r="H166"/>
  <c r="H168"/>
  <c r="I165"/>
  <c r="I166"/>
  <c r="I168"/>
  <c r="J165"/>
  <c r="J166"/>
  <c r="J168"/>
  <c r="K165"/>
  <c r="K166"/>
  <c r="K168"/>
  <c r="L165"/>
  <c r="L166"/>
  <c r="L168"/>
  <c r="M168"/>
  <c r="F170"/>
  <c r="G170"/>
  <c r="H170"/>
  <c r="I170"/>
  <c r="J170"/>
  <c r="K170"/>
  <c r="L170"/>
  <c r="E170"/>
  <c r="D23"/>
  <c r="L101"/>
  <c r="K101"/>
  <c r="J101"/>
  <c r="I101"/>
  <c r="H101"/>
  <c r="G101"/>
  <c r="F101"/>
  <c r="E101"/>
  <c r="D101"/>
  <c r="L100"/>
  <c r="L106"/>
  <c r="K100"/>
  <c r="K106"/>
  <c r="J100"/>
  <c r="J106"/>
  <c r="I100"/>
  <c r="I106"/>
  <c r="H100"/>
  <c r="H106"/>
  <c r="G100"/>
  <c r="G106"/>
  <c r="F100"/>
  <c r="F106"/>
  <c r="E100"/>
  <c r="E106"/>
  <c r="D100"/>
  <c r="D106"/>
  <c r="L99"/>
  <c r="L104"/>
  <c r="K99"/>
  <c r="K104"/>
  <c r="J99"/>
  <c r="J104"/>
  <c r="I99"/>
  <c r="I104"/>
  <c r="H99"/>
  <c r="H104"/>
  <c r="G99"/>
  <c r="G104"/>
  <c r="F99"/>
  <c r="F104"/>
  <c r="E99"/>
  <c r="E104"/>
  <c r="D99"/>
  <c r="D104"/>
  <c r="L103"/>
  <c r="K103"/>
  <c r="J103"/>
  <c r="I103"/>
  <c r="H103"/>
  <c r="G103"/>
  <c r="F103"/>
  <c r="E103"/>
  <c r="D103"/>
  <c r="L76"/>
  <c r="L86"/>
  <c r="K76"/>
  <c r="K86"/>
  <c r="J76"/>
  <c r="J86"/>
  <c r="I76"/>
  <c r="I86"/>
  <c r="H76"/>
  <c r="H86"/>
  <c r="G76"/>
  <c r="G86"/>
  <c r="F76"/>
  <c r="F86"/>
  <c r="E76"/>
  <c r="E86"/>
  <c r="D76"/>
  <c r="D86"/>
  <c r="D132"/>
  <c r="D131"/>
  <c r="D130"/>
  <c r="L159"/>
  <c r="E161"/>
  <c r="K159"/>
  <c r="J159"/>
  <c r="I159"/>
  <c r="J24"/>
  <c r="I24"/>
  <c r="L148"/>
  <c r="L142"/>
  <c r="L143"/>
  <c r="L145"/>
  <c r="L147"/>
  <c r="L132"/>
  <c r="K132"/>
  <c r="L136"/>
  <c r="L131"/>
  <c r="K131"/>
  <c r="L135"/>
  <c r="L130"/>
  <c r="K130"/>
  <c r="L134"/>
  <c r="G146"/>
  <c r="F146"/>
  <c r="E146"/>
  <c r="M6"/>
  <c r="L156"/>
  <c r="F156"/>
  <c r="G156"/>
  <c r="H156"/>
  <c r="I156"/>
  <c r="J156"/>
  <c r="K156"/>
  <c r="E156"/>
  <c r="L92"/>
  <c r="L93"/>
  <c r="L94"/>
  <c r="H159"/>
  <c r="G159"/>
  <c r="F159"/>
  <c r="E159"/>
  <c r="E160"/>
  <c r="E24"/>
  <c r="F24"/>
  <c r="G24"/>
  <c r="H24"/>
  <c r="D24"/>
  <c r="J132"/>
  <c r="I132"/>
  <c r="H132"/>
  <c r="G132"/>
  <c r="F132"/>
  <c r="E132"/>
  <c r="I145"/>
  <c r="D128"/>
  <c r="E142"/>
  <c r="E143"/>
  <c r="E147"/>
  <c r="K148"/>
  <c r="J148"/>
  <c r="I148"/>
  <c r="H148"/>
  <c r="G148"/>
  <c r="F148"/>
  <c r="E148"/>
  <c r="K92"/>
  <c r="J92"/>
  <c r="I92"/>
  <c r="H92"/>
  <c r="G92"/>
  <c r="F92"/>
  <c r="E92"/>
  <c r="D92"/>
  <c r="K93"/>
  <c r="J93"/>
  <c r="I93"/>
  <c r="H93"/>
  <c r="G93"/>
  <c r="F93"/>
  <c r="E93"/>
  <c r="D93"/>
  <c r="K94"/>
  <c r="J94"/>
  <c r="I94"/>
  <c r="H94"/>
  <c r="G94"/>
  <c r="F94"/>
  <c r="E94"/>
  <c r="D94"/>
  <c r="K136"/>
  <c r="J131"/>
  <c r="K135"/>
  <c r="J130"/>
  <c r="K134"/>
  <c r="J136"/>
  <c r="I131"/>
  <c r="J135"/>
  <c r="I130"/>
  <c r="J134"/>
  <c r="I136"/>
  <c r="H131"/>
  <c r="I135"/>
  <c r="H130"/>
  <c r="I134"/>
  <c r="H136"/>
  <c r="G131"/>
  <c r="H135"/>
  <c r="G130"/>
  <c r="H134"/>
  <c r="G136"/>
  <c r="F131"/>
  <c r="G135"/>
  <c r="F130"/>
  <c r="G134"/>
  <c r="F136"/>
  <c r="E131"/>
  <c r="F135"/>
  <c r="E130"/>
  <c r="F134"/>
  <c r="E136"/>
  <c r="E135"/>
  <c r="E134"/>
  <c r="F142"/>
  <c r="F143"/>
  <c r="F147"/>
  <c r="G142"/>
  <c r="G143"/>
  <c r="G147"/>
  <c r="H142"/>
  <c r="H143"/>
  <c r="H147"/>
  <c r="I142"/>
  <c r="I143"/>
  <c r="I147"/>
  <c r="J142"/>
  <c r="J143"/>
  <c r="J147"/>
  <c r="K142"/>
  <c r="K143"/>
  <c r="K145"/>
  <c r="K147"/>
</calcChain>
</file>

<file path=xl/sharedStrings.xml><?xml version="1.0" encoding="utf-8"?>
<sst xmlns="http://schemas.openxmlformats.org/spreadsheetml/2006/main" count="130" uniqueCount="123">
  <si>
    <t>% of Turnover</t>
    <phoneticPr fontId="1" type="noConversion"/>
  </si>
  <si>
    <t>Key figures (Euros, thousands) - Source: annual reports 2005-2013</t>
    <phoneticPr fontId="1" type="noConversion"/>
  </si>
  <si>
    <t>Gross margin</t>
    <phoneticPr fontId="1" type="noConversion"/>
  </si>
  <si>
    <t>Other Variable costs</t>
    <phoneticPr fontId="1" type="noConversion"/>
  </si>
  <si>
    <t>After extraordinary items</t>
    <phoneticPr fontId="1" type="noConversion"/>
  </si>
  <si>
    <t>1. Profitability ratios</t>
    <phoneticPr fontId="1" type="noConversion"/>
  </si>
  <si>
    <t>Receivable days (% Sales)</t>
    <phoneticPr fontId="1" type="noConversion"/>
  </si>
  <si>
    <t>Days of stock (% Sales)</t>
    <phoneticPr fontId="1" type="noConversion"/>
  </si>
  <si>
    <t>IV. Others ratios (examples)</t>
    <phoneticPr fontId="1" type="noConversion"/>
  </si>
  <si>
    <t>Cost Structure Analysis</t>
    <phoneticPr fontId="1" type="noConversion"/>
  </si>
  <si>
    <t>Trade payables only</t>
    <phoneticPr fontId="1" type="noConversion"/>
  </si>
  <si>
    <t>All payables: Trade, Tax, Others</t>
    <phoneticPr fontId="1" type="noConversion"/>
  </si>
  <si>
    <t>Other Variable costs: Manufacturing Costs; Cost of services staff</t>
    <phoneticPr fontId="1" type="noConversion"/>
  </si>
  <si>
    <t>Tax Payable to the state</t>
    <phoneticPr fontId="1" type="noConversion"/>
  </si>
  <si>
    <t>Stocks &amp; prepayment net of supplier payables</t>
    <phoneticPr fontId="1" type="noConversion"/>
  </si>
  <si>
    <t>Cashflow after financing</t>
    <phoneticPr fontId="1" type="noConversion"/>
  </si>
  <si>
    <t>Average 05-13</t>
    <phoneticPr fontId="1" type="noConversion"/>
  </si>
  <si>
    <t>Net Gross Margin</t>
    <phoneticPr fontId="1" type="noConversion"/>
  </si>
  <si>
    <t>8 year average (2006-2013)</t>
    <phoneticPr fontId="1" type="noConversion"/>
  </si>
  <si>
    <t>Average Salary (loaded)</t>
    <phoneticPr fontId="1" type="noConversion"/>
  </si>
  <si>
    <t>Net income</t>
    <phoneticPr fontId="1" type="noConversion"/>
  </si>
  <si>
    <t>EBIT before extraordinary items</t>
    <phoneticPr fontId="1" type="noConversion"/>
  </si>
  <si>
    <t>EBIT after extraordinary items</t>
    <phoneticPr fontId="1" type="noConversion"/>
  </si>
  <si>
    <t>Salaries % of sales</t>
    <phoneticPr fontId="1" type="noConversion"/>
  </si>
  <si>
    <t>Interest Paid</t>
    <phoneticPr fontId="1" type="noConversion"/>
  </si>
  <si>
    <t>D&amp;A</t>
    <phoneticPr fontId="1" type="noConversion"/>
  </si>
  <si>
    <t>EBIT+DA</t>
    <phoneticPr fontId="1" type="noConversion"/>
  </si>
  <si>
    <t>Staff analysis</t>
    <phoneticPr fontId="1" type="noConversion"/>
  </si>
  <si>
    <t>EBIT-&gt; Cashflow analysis</t>
    <phoneticPr fontId="1" type="noConversion"/>
  </si>
  <si>
    <t>Growth in retained earnings</t>
    <phoneticPr fontId="1" type="noConversion"/>
  </si>
  <si>
    <t>Annual retained earnings</t>
    <phoneticPr fontId="1" type="noConversion"/>
  </si>
  <si>
    <t>Annuel dividend</t>
    <phoneticPr fontId="1" type="noConversion"/>
  </si>
  <si>
    <t>Cumulated Retained earnings incl. Dividends</t>
    <phoneticPr fontId="1" type="noConversion"/>
  </si>
  <si>
    <t>Annual growth</t>
    <phoneticPr fontId="1" type="noConversion"/>
  </si>
  <si>
    <t>Assets (Net)</t>
    <phoneticPr fontId="1" type="noConversion"/>
  </si>
  <si>
    <t>Total assets</t>
    <phoneticPr fontId="1" type="noConversion"/>
  </si>
  <si>
    <t>Cost, of which</t>
    <phoneticPr fontId="1" type="noConversion"/>
  </si>
  <si>
    <t>CoGS, HW &amp; Third parties</t>
    <phoneticPr fontId="1" type="noConversion"/>
  </si>
  <si>
    <t>Payables to suppliers</t>
    <phoneticPr fontId="1" type="noConversion"/>
  </si>
  <si>
    <t>Other payables</t>
    <phoneticPr fontId="1" type="noConversion"/>
  </si>
  <si>
    <t>Current ratio</t>
    <phoneticPr fontId="1" type="noConversion"/>
  </si>
  <si>
    <t>Liquid ratio</t>
    <phoneticPr fontId="1" type="noConversion"/>
  </si>
  <si>
    <t>Cash ratio</t>
    <phoneticPr fontId="1" type="noConversion"/>
  </si>
  <si>
    <t>EBIT % of sales - before Ex. Items</t>
    <phoneticPr fontId="1" type="noConversion"/>
  </si>
  <si>
    <t>PAT% of sales</t>
    <phoneticPr fontId="1" type="noConversion"/>
  </si>
  <si>
    <t>Paid in capital</t>
    <phoneticPr fontId="1" type="noConversion"/>
  </si>
  <si>
    <t>Retained profit</t>
    <phoneticPr fontId="1" type="noConversion"/>
  </si>
  <si>
    <t>Debt financing (increase in)</t>
    <phoneticPr fontId="1" type="noConversion"/>
  </si>
  <si>
    <t>Cashflow before financing</t>
    <phoneticPr fontId="1" type="noConversion"/>
  </si>
  <si>
    <t>D&amp;A % of sales</t>
    <phoneticPr fontId="1" type="noConversion"/>
  </si>
  <si>
    <t>Extraordinary item % of sales</t>
    <phoneticPr fontId="1" type="noConversion"/>
  </si>
  <si>
    <t>5 year average (2006-2013)</t>
    <phoneticPr fontId="1" type="noConversion"/>
  </si>
  <si>
    <t>Debt to Equity Ratio</t>
    <phoneticPr fontId="1" type="noConversion"/>
  </si>
  <si>
    <t>Gearing</t>
    <phoneticPr fontId="1" type="noConversion"/>
  </si>
  <si>
    <t>Equity</t>
    <phoneticPr fontId="1" type="noConversion"/>
  </si>
  <si>
    <t>Net Debt (interest-bearing debt minus excess cash)</t>
    <phoneticPr fontId="1" type="noConversion"/>
  </si>
  <si>
    <t>Debt cover Ratio</t>
    <phoneticPr fontId="1" type="noConversion"/>
  </si>
  <si>
    <t>EBITDA</t>
    <phoneticPr fontId="1" type="noConversion"/>
  </si>
  <si>
    <t>Net Profit</t>
    <phoneticPr fontId="1" type="noConversion"/>
  </si>
  <si>
    <t>ROE</t>
    <phoneticPr fontId="1" type="noConversion"/>
  </si>
  <si>
    <t>NOPAT</t>
    <phoneticPr fontId="1" type="noConversion"/>
  </si>
  <si>
    <t>Tax rate</t>
    <phoneticPr fontId="1" type="noConversion"/>
  </si>
  <si>
    <t>Invested Capital</t>
    <phoneticPr fontId="1" type="noConversion"/>
  </si>
  <si>
    <t>Other receivables</t>
    <phoneticPr fontId="1" type="noConversion"/>
  </si>
  <si>
    <t>Prepayment</t>
    <phoneticPr fontId="1" type="noConversion"/>
  </si>
  <si>
    <t>G&amp;A % of sales</t>
    <phoneticPr fontId="1" type="noConversion"/>
  </si>
  <si>
    <t>Inventories</t>
    <phoneticPr fontId="1" type="noConversion"/>
  </si>
  <si>
    <t>Receivable from customers and others</t>
    <phoneticPr fontId="1" type="noConversion"/>
  </si>
  <si>
    <t>Working Capital</t>
    <phoneticPr fontId="1" type="noConversion"/>
  </si>
  <si>
    <t>Payable to suppliers and others</t>
    <phoneticPr fontId="1" type="noConversion"/>
  </si>
  <si>
    <t>5. Working Capital Analysis</t>
    <phoneticPr fontId="1" type="noConversion"/>
  </si>
  <si>
    <t>I. P&amp;L</t>
    <phoneticPr fontId="1" type="noConversion"/>
  </si>
  <si>
    <t>II. Balance Sheet</t>
    <phoneticPr fontId="1" type="noConversion"/>
  </si>
  <si>
    <t>III. Cashflows</t>
    <phoneticPr fontId="1" type="noConversion"/>
  </si>
  <si>
    <t>Cashflow before equity movements</t>
    <phoneticPr fontId="1" type="noConversion"/>
  </si>
  <si>
    <t>Change in working capital</t>
    <phoneticPr fontId="1" type="noConversion"/>
  </si>
  <si>
    <t>Cashflow from operations</t>
    <phoneticPr fontId="1" type="noConversion"/>
  </si>
  <si>
    <t>Investment</t>
    <phoneticPr fontId="1" type="noConversion"/>
  </si>
  <si>
    <t>Share capital increase</t>
    <phoneticPr fontId="1" type="noConversion"/>
  </si>
  <si>
    <t>Equity financing</t>
    <phoneticPr fontId="1" type="noConversion"/>
  </si>
  <si>
    <t>Number of Staff</t>
    <phoneticPr fontId="1" type="noConversion"/>
  </si>
  <si>
    <t>Growth in Cashflow before Financing</t>
    <phoneticPr fontId="1" type="noConversion"/>
  </si>
  <si>
    <t>Annual Cashflow before Financing</t>
    <phoneticPr fontId="1" type="noConversion"/>
  </si>
  <si>
    <t>Sales</t>
    <phoneticPr fontId="1" type="noConversion"/>
  </si>
  <si>
    <t>Cumulated</t>
    <phoneticPr fontId="1" type="noConversion"/>
  </si>
  <si>
    <t>Cumulated</t>
    <phoneticPr fontId="1" type="noConversion"/>
  </si>
  <si>
    <t>CAGR 06/13</t>
    <phoneticPr fontId="1" type="noConversion"/>
  </si>
  <si>
    <t>(Cum. Cashflow) / (Cum. Sales) ratio</t>
    <phoneticPr fontId="1" type="noConversion"/>
  </si>
  <si>
    <t>2. Capital Efficiency ratios</t>
    <phoneticPr fontId="1" type="noConversion"/>
  </si>
  <si>
    <t>3. Liquidity ratios</t>
    <phoneticPr fontId="1" type="noConversion"/>
  </si>
  <si>
    <t>4. Stability ratios</t>
    <phoneticPr fontId="1" type="noConversion"/>
  </si>
  <si>
    <t>Working capital</t>
    <phoneticPr fontId="1" type="noConversion"/>
  </si>
  <si>
    <t>Payables to others</t>
    <phoneticPr fontId="1" type="noConversion"/>
  </si>
  <si>
    <t>Salary and related</t>
    <phoneticPr fontId="1" type="noConversion"/>
  </si>
  <si>
    <t>G&amp;A</t>
    <phoneticPr fontId="1" type="noConversion"/>
  </si>
  <si>
    <t>Taxes and similar</t>
    <phoneticPr fontId="1" type="noConversion"/>
  </si>
  <si>
    <t>Stocks</t>
    <phoneticPr fontId="1" type="noConversion"/>
  </si>
  <si>
    <t>EBITDA Margin</t>
    <phoneticPr fontId="1" type="noConversion"/>
  </si>
  <si>
    <t>EBIT Margin</t>
    <phoneticPr fontId="1" type="noConversion"/>
  </si>
  <si>
    <t>Payable days (% Opex and CAPEX)</t>
    <phoneticPr fontId="1" type="noConversion"/>
  </si>
  <si>
    <t>Payable days (% Sales)</t>
    <phoneticPr fontId="1" type="noConversion"/>
  </si>
  <si>
    <t>Revenues</t>
    <phoneticPr fontId="1" type="noConversion"/>
  </si>
  <si>
    <t>CAGR 05/13</t>
    <phoneticPr fontId="1" type="noConversion"/>
  </si>
  <si>
    <t>Tax declared</t>
    <phoneticPr fontId="1" type="noConversion"/>
  </si>
  <si>
    <t>B/S change in Cash</t>
    <phoneticPr fontId="1" type="noConversion"/>
  </si>
  <si>
    <t>Receivables</t>
    <phoneticPr fontId="1" type="noConversion"/>
  </si>
  <si>
    <t>Stocks net of supplier payables</t>
    <phoneticPr fontId="1" type="noConversion"/>
  </si>
  <si>
    <t>Receivable from customers</t>
    <phoneticPr fontId="1" type="noConversion"/>
  </si>
  <si>
    <t>Total Equity+Liability</t>
    <phoneticPr fontId="1" type="noConversion"/>
  </si>
  <si>
    <t>Cash</t>
    <phoneticPr fontId="1" type="noConversion"/>
  </si>
  <si>
    <t>Interest Bearing Liabilities (net)</t>
    <phoneticPr fontId="1" type="noConversion"/>
  </si>
  <si>
    <t>ROIC</t>
    <phoneticPr fontId="1" type="noConversion"/>
  </si>
  <si>
    <t>EBIT -&gt;Cashflow (before financing) conversion ratio</t>
    <phoneticPr fontId="1" type="noConversion"/>
  </si>
  <si>
    <t>"Effective" Tax rate</t>
    <phoneticPr fontId="1" type="noConversion"/>
  </si>
  <si>
    <t>Tax Paid</t>
    <phoneticPr fontId="1" type="noConversion"/>
  </si>
  <si>
    <t>Dividend paid</t>
    <phoneticPr fontId="1" type="noConversion"/>
  </si>
  <si>
    <t>Dividend declared</t>
    <phoneticPr fontId="1" type="noConversion"/>
  </si>
  <si>
    <t>Extraordinary items, Net</t>
    <phoneticPr fontId="1" type="noConversion"/>
  </si>
  <si>
    <t>Interest costs, net</t>
    <phoneticPr fontId="1" type="noConversion"/>
  </si>
  <si>
    <t>EBT</t>
    <phoneticPr fontId="1" type="noConversion"/>
  </si>
  <si>
    <t>PAT</t>
    <phoneticPr fontId="1" type="noConversion"/>
  </si>
  <si>
    <t>Equity</t>
    <phoneticPr fontId="1" type="noConversion"/>
  </si>
  <si>
    <t>Debt - financial</t>
    <phoneticPr fontId="1" type="noConversion"/>
  </si>
</sst>
</file>

<file path=xl/styles.xml><?xml version="1.0" encoding="utf-8"?>
<styleSheet xmlns="http://schemas.openxmlformats.org/spreadsheetml/2006/main">
  <numFmts count="15">
    <numFmt numFmtId="166" formatCode="0.0%"/>
    <numFmt numFmtId="170" formatCode="0.0"/>
    <numFmt numFmtId="172" formatCode="#,##0;\(#,##0\)"/>
    <numFmt numFmtId="173" formatCode="0%"/>
    <numFmt numFmtId="174" formatCode="0.0%"/>
    <numFmt numFmtId="181" formatCode="0.00"/>
    <numFmt numFmtId="182" formatCode="0.0"/>
    <numFmt numFmtId="183" formatCode="0%"/>
    <numFmt numFmtId="184" formatCode="#,##0.0&quot; j&quot;"/>
    <numFmt numFmtId="186" formatCode="0"/>
    <numFmt numFmtId="187" formatCode="0.00"/>
    <numFmt numFmtId="189" formatCode="0\ &quot;d&quot;"/>
    <numFmt numFmtId="190" formatCode="0\ &quot;days&quot;"/>
    <numFmt numFmtId="193" formatCode="#,##0.0;\(#,##0.0\)"/>
    <numFmt numFmtId="195" formatCode="#,##0.00;\(#,##0.00\)"/>
  </numFmts>
  <fonts count="24">
    <font>
      <sz val="11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indexed="10"/>
      <name val="Arial"/>
    </font>
    <font>
      <i/>
      <sz val="11"/>
      <name val="Arial"/>
    </font>
    <font>
      <sz val="9"/>
      <name val="Arial"/>
    </font>
    <font>
      <sz val="8"/>
      <color indexed="10"/>
      <name val="Arial"/>
    </font>
    <font>
      <b/>
      <sz val="8"/>
      <color indexed="10"/>
      <name val="Arial"/>
    </font>
    <font>
      <b/>
      <sz val="11"/>
      <color indexed="10"/>
      <name val="Arial"/>
    </font>
    <font>
      <sz val="11"/>
      <name val="Arial"/>
      <family val="2"/>
    </font>
    <font>
      <b/>
      <sz val="11"/>
      <color indexed="54"/>
      <name val="Garamond"/>
      <family val="1"/>
    </font>
    <font>
      <sz val="10"/>
      <name val="Arial"/>
    </font>
    <font>
      <b/>
      <sz val="14"/>
      <color indexed="54"/>
      <name val="Garamond"/>
    </font>
    <font>
      <b/>
      <sz val="11"/>
      <color indexed="9"/>
      <name val="Garamond"/>
      <family val="1"/>
    </font>
    <font>
      <b/>
      <sz val="16"/>
      <name val="Garamond"/>
    </font>
    <font>
      <sz val="11"/>
      <color indexed="54"/>
      <name val="Garamond"/>
      <family val="1"/>
    </font>
    <font>
      <i/>
      <sz val="11"/>
      <color indexed="54"/>
      <name val="Garamond"/>
      <family val="1"/>
    </font>
    <font>
      <b/>
      <i/>
      <sz val="11"/>
      <color indexed="9"/>
      <name val="Garamond"/>
      <family val="1"/>
    </font>
    <font>
      <b/>
      <sz val="11"/>
      <color indexed="25"/>
      <name val="Garamond"/>
      <family val="1"/>
    </font>
    <font>
      <b/>
      <sz val="11"/>
      <color indexed="16"/>
      <name val="Garamond"/>
    </font>
    <font>
      <sz val="11"/>
      <color indexed="16"/>
      <name val="Garamond"/>
    </font>
    <font>
      <b/>
      <i/>
      <sz val="11"/>
      <color indexed="16"/>
      <name val="Garamond"/>
    </font>
    <font>
      <b/>
      <sz val="11"/>
      <color indexed="9"/>
      <name val="Arial"/>
    </font>
    <font>
      <i/>
      <sz val="11"/>
      <color indexed="12"/>
      <name val="Garamond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ashed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9"/>
      </left>
      <right style="thin">
        <color indexed="9"/>
      </right>
      <top style="thin">
        <color indexed="9"/>
      </top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9" fontId="0" fillId="0" borderId="0" xfId="0" applyNumberFormat="1"/>
    <xf numFmtId="0" fontId="4" fillId="2" borderId="0" xfId="0" applyFont="1" applyFill="1"/>
    <xf numFmtId="0" fontId="0" fillId="2" borderId="0" xfId="0" applyFill="1"/>
    <xf numFmtId="0" fontId="7" fillId="0" borderId="0" xfId="0" applyFont="1"/>
    <xf numFmtId="1" fontId="6" fillId="0" borderId="0" xfId="0" applyNumberFormat="1" applyFont="1"/>
    <xf numFmtId="170" fontId="0" fillId="0" borderId="0" xfId="0" applyNumberFormat="1"/>
    <xf numFmtId="0" fontId="3" fillId="2" borderId="0" xfId="0" applyFont="1" applyFill="1"/>
    <xf numFmtId="0" fontId="8" fillId="0" borderId="0" xfId="0" applyFont="1"/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2" borderId="0" xfId="0" applyNumberFormat="1" applyFill="1"/>
    <xf numFmtId="0" fontId="12" fillId="0" borderId="0" xfId="2" applyFont="1"/>
    <xf numFmtId="0" fontId="13" fillId="6" borderId="2" xfId="3" applyFont="1" applyFill="1" applyBorder="1" applyAlignment="1">
      <alignment horizontal="center" vertical="center"/>
    </xf>
    <xf numFmtId="0" fontId="14" fillId="0" borderId="0" xfId="0" applyFont="1"/>
    <xf numFmtId="0" fontId="10" fillId="7" borderId="0" xfId="2" applyFont="1" applyFill="1"/>
    <xf numFmtId="0" fontId="15" fillId="0" borderId="0" xfId="3" applyFont="1" applyBorder="1"/>
    <xf numFmtId="0" fontId="15" fillId="0" borderId="0" xfId="3" applyFont="1" applyBorder="1" applyAlignment="1">
      <alignment horizontal="right"/>
    </xf>
    <xf numFmtId="0" fontId="16" fillId="0" borderId="0" xfId="3" applyFont="1" applyBorder="1" applyAlignment="1">
      <alignment horizontal="right" vertical="center"/>
    </xf>
    <xf numFmtId="0" fontId="16" fillId="0" borderId="0" xfId="3" applyFont="1" applyBorder="1" applyAlignment="1">
      <alignment horizontal="right"/>
    </xf>
    <xf numFmtId="3" fontId="10" fillId="7" borderId="0" xfId="3" applyNumberFormat="1" applyFont="1" applyFill="1" applyBorder="1" applyAlignment="1">
      <alignment vertical="center"/>
    </xf>
    <xf numFmtId="172" fontId="16" fillId="0" borderId="0" xfId="3" applyNumberFormat="1" applyFont="1" applyBorder="1" applyAlignment="1">
      <alignment vertical="center"/>
    </xf>
    <xf numFmtId="172" fontId="15" fillId="0" borderId="0" xfId="3" applyNumberFormat="1" applyFont="1" applyBorder="1" applyAlignment="1">
      <alignment vertical="center"/>
    </xf>
    <xf numFmtId="166" fontId="16" fillId="0" borderId="0" xfId="4" applyNumberFormat="1" applyFont="1" applyBorder="1" applyAlignment="1">
      <alignment vertical="center"/>
    </xf>
    <xf numFmtId="0" fontId="17" fillId="8" borderId="3" xfId="3" applyNumberFormat="1" applyFont="1" applyFill="1" applyBorder="1" applyAlignment="1">
      <alignment horizontal="center" vertical="center" wrapText="1"/>
    </xf>
    <xf numFmtId="0" fontId="10" fillId="0" borderId="0" xfId="3" applyFont="1" applyBorder="1"/>
    <xf numFmtId="172" fontId="10" fillId="0" borderId="0" xfId="3" applyNumberFormat="1" applyFont="1" applyBorder="1" applyAlignment="1">
      <alignment vertical="center"/>
    </xf>
    <xf numFmtId="0" fontId="18" fillId="0" borderId="0" xfId="3" applyFont="1" applyBorder="1"/>
    <xf numFmtId="0" fontId="19" fillId="0" borderId="0" xfId="3" applyFont="1" applyBorder="1"/>
    <xf numFmtId="9" fontId="21" fillId="2" borderId="0" xfId="5" applyNumberFormat="1" applyFont="1" applyFill="1" applyBorder="1" applyAlignment="1">
      <alignment horizontal="center" vertical="center"/>
    </xf>
    <xf numFmtId="0" fontId="13" fillId="6" borderId="4" xfId="3" applyFont="1" applyFill="1" applyBorder="1" applyAlignment="1">
      <alignment horizontal="center" vertical="center"/>
    </xf>
    <xf numFmtId="9" fontId="20" fillId="3" borderId="3" xfId="1" applyFont="1" applyFill="1" applyBorder="1"/>
    <xf numFmtId="0" fontId="15" fillId="0" borderId="0" xfId="3" applyFont="1" applyBorder="1" applyAlignment="1">
      <alignment horizontal="left"/>
    </xf>
    <xf numFmtId="0" fontId="13" fillId="9" borderId="0" xfId="0" applyFont="1" applyFill="1"/>
    <xf numFmtId="0" fontId="22" fillId="9" borderId="0" xfId="0" applyFont="1" applyFill="1"/>
    <xf numFmtId="174" fontId="21" fillId="2" borderId="0" xfId="5" applyNumberFormat="1" applyFont="1" applyFill="1" applyBorder="1" applyAlignment="1">
      <alignment horizontal="center" vertical="center"/>
    </xf>
    <xf numFmtId="174" fontId="0" fillId="0" borderId="0" xfId="0" applyNumberFormat="1"/>
    <xf numFmtId="181" fontId="20" fillId="3" borderId="3" xfId="1" applyNumberFormat="1" applyFont="1" applyFill="1" applyBorder="1"/>
    <xf numFmtId="182" fontId="20" fillId="3" borderId="3" xfId="1" applyNumberFormat="1" applyFont="1" applyFill="1" applyBorder="1"/>
    <xf numFmtId="183" fontId="21" fillId="2" borderId="0" xfId="5" applyNumberFormat="1" applyFont="1" applyFill="1" applyBorder="1" applyAlignment="1">
      <alignment horizontal="center" vertical="center"/>
    </xf>
    <xf numFmtId="186" fontId="20" fillId="3" borderId="3" xfId="1" applyNumberFormat="1" applyFont="1" applyFill="1" applyBorder="1"/>
    <xf numFmtId="186" fontId="21" fillId="2" borderId="0" xfId="5" applyNumberFormat="1" applyFont="1" applyFill="1" applyBorder="1" applyAlignment="1">
      <alignment horizontal="center" vertical="center"/>
    </xf>
    <xf numFmtId="190" fontId="21" fillId="2" borderId="0" xfId="5" applyNumberFormat="1" applyFont="1" applyFill="1" applyBorder="1" applyAlignment="1">
      <alignment horizontal="center" vertical="center"/>
    </xf>
    <xf numFmtId="189" fontId="20" fillId="3" borderId="3" xfId="1" applyNumberFormat="1" applyFont="1" applyFill="1" applyBorder="1"/>
    <xf numFmtId="166" fontId="23" fillId="11" borderId="0" xfId="4" applyNumberFormat="1" applyFont="1" applyFill="1" applyBorder="1" applyAlignment="1">
      <alignment vertical="center"/>
    </xf>
    <xf numFmtId="187" fontId="20" fillId="3" borderId="3" xfId="1" applyNumberFormat="1" applyFont="1" applyFill="1" applyBorder="1"/>
    <xf numFmtId="195" fontId="15" fillId="0" borderId="0" xfId="3" applyNumberFormat="1" applyFont="1" applyBorder="1" applyAlignment="1">
      <alignment vertical="center"/>
    </xf>
  </cellXfs>
  <cellStyles count="6">
    <cellStyle name="AFE 2" xfId="3"/>
    <cellStyle name="Normal 2" xfId="2"/>
    <cellStyle name="Pourcentage 2" xfId="5"/>
    <cellStyle name="Pourcentage 5" xfId="4"/>
    <cellStyle name="Prozent" xfId="1" builtinId="5"/>
    <cellStyle name="Standard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P187"/>
  <sheetViews>
    <sheetView showGridLines="0" tabSelected="1" zoomScale="125" workbookViewId="0">
      <selection activeCell="B14" sqref="B14"/>
    </sheetView>
  </sheetViews>
  <sheetFormatPr baseColWidth="10" defaultRowHeight="13" outlineLevelRow="1"/>
  <cols>
    <col min="1" max="1" width="1.42578125" customWidth="1"/>
    <col min="2" max="2" width="13.140625" customWidth="1"/>
    <col min="3" max="3" width="32.28515625" customWidth="1"/>
    <col min="4" max="12" width="9" customWidth="1"/>
    <col min="14" max="14" width="12.7109375" customWidth="1"/>
    <col min="15" max="15" width="13.140625" customWidth="1"/>
    <col min="16" max="16" width="10" customWidth="1"/>
  </cols>
  <sheetData>
    <row r="1" spans="2:15">
      <c r="N1" s="2"/>
      <c r="O1" s="2"/>
    </row>
    <row r="2" spans="2:15" ht="19">
      <c r="C2" s="22" t="s">
        <v>1</v>
      </c>
    </row>
    <row r="4" spans="2:15">
      <c r="C4" s="9"/>
      <c r="D4" s="21">
        <v>2005</v>
      </c>
      <c r="E4" s="21">
        <v>2006</v>
      </c>
      <c r="F4" s="21">
        <v>2007</v>
      </c>
      <c r="G4" s="21">
        <v>2008</v>
      </c>
      <c r="H4" s="21">
        <v>2009</v>
      </c>
      <c r="I4" s="21">
        <v>2010</v>
      </c>
      <c r="J4" s="21">
        <v>2011</v>
      </c>
      <c r="K4" s="21">
        <v>2012</v>
      </c>
      <c r="L4" s="21">
        <v>2013</v>
      </c>
      <c r="M4" s="32" t="s">
        <v>102</v>
      </c>
    </row>
    <row r="5" spans="2:15" ht="17">
      <c r="B5" s="20" t="s">
        <v>71</v>
      </c>
      <c r="C5" s="5"/>
      <c r="D5" s="4"/>
      <c r="E5" s="4"/>
      <c r="F5" s="4"/>
      <c r="G5" s="4"/>
      <c r="H5" s="4"/>
      <c r="I5" s="4"/>
      <c r="J5" s="4"/>
      <c r="K5" s="4"/>
      <c r="L5" s="4"/>
      <c r="M5" s="14"/>
    </row>
    <row r="6" spans="2:15" ht="14">
      <c r="C6" s="23" t="s">
        <v>101</v>
      </c>
      <c r="D6" s="28">
        <v>47980</v>
      </c>
      <c r="E6" s="28">
        <v>46500</v>
      </c>
      <c r="F6" s="28">
        <v>55930</v>
      </c>
      <c r="G6" s="28">
        <v>52290</v>
      </c>
      <c r="H6" s="28">
        <v>51210</v>
      </c>
      <c r="I6" s="28">
        <v>56150</v>
      </c>
      <c r="J6" s="28">
        <v>78540</v>
      </c>
      <c r="K6" s="28">
        <v>59350</v>
      </c>
      <c r="L6" s="28">
        <v>72000</v>
      </c>
      <c r="M6" s="43">
        <f>(L6/D6)^(1/8)-1</f>
        <v>5.2044309474182704E-2</v>
      </c>
      <c r="N6" s="2"/>
    </row>
    <row r="7" spans="2:15">
      <c r="M7" s="14"/>
    </row>
    <row r="8" spans="2:15" ht="14">
      <c r="C8" s="23" t="s">
        <v>36</v>
      </c>
      <c r="D8" s="28">
        <f t="shared" ref="D8:L8" si="0">SUM(D9:D13)</f>
        <v>33560</v>
      </c>
      <c r="E8" s="28">
        <f t="shared" si="0"/>
        <v>34510</v>
      </c>
      <c r="F8" s="28">
        <f t="shared" si="0"/>
        <v>42760</v>
      </c>
      <c r="G8" s="28">
        <f t="shared" si="0"/>
        <v>45640</v>
      </c>
      <c r="H8" s="28">
        <f t="shared" si="0"/>
        <v>51250</v>
      </c>
      <c r="I8" s="28">
        <f t="shared" si="0"/>
        <v>56150</v>
      </c>
      <c r="J8" s="28">
        <f t="shared" si="0"/>
        <v>76740</v>
      </c>
      <c r="K8" s="28">
        <f t="shared" si="0"/>
        <v>60250</v>
      </c>
      <c r="L8" s="28">
        <f t="shared" si="0"/>
        <v>59290</v>
      </c>
      <c r="M8" s="14"/>
    </row>
    <row r="9" spans="2:15" ht="14">
      <c r="C9" s="27" t="s">
        <v>37</v>
      </c>
      <c r="D9" s="29">
        <v>13480</v>
      </c>
      <c r="E9" s="29">
        <f>(1578-24)*10</f>
        <v>15540</v>
      </c>
      <c r="F9" s="29">
        <f>(1869-33+441)*10</f>
        <v>22770</v>
      </c>
      <c r="G9" s="29">
        <f>(2129-144+394)*10</f>
        <v>23790</v>
      </c>
      <c r="H9" s="29">
        <f>(2433+83+103)*10</f>
        <v>26190</v>
      </c>
      <c r="I9" s="29">
        <f>(2318-363+433+25)*10</f>
        <v>24130</v>
      </c>
      <c r="J9" s="29">
        <f>(3729-512+911)*10</f>
        <v>41280</v>
      </c>
      <c r="K9" s="29">
        <f>(2803-256+270)*10</f>
        <v>28170</v>
      </c>
      <c r="L9" s="29">
        <f>(7200-4500)*10</f>
        <v>27000</v>
      </c>
      <c r="M9" s="14"/>
    </row>
    <row r="10" spans="2:15" ht="14">
      <c r="C10" s="27" t="s">
        <v>93</v>
      </c>
      <c r="D10" s="29">
        <f>(923+386)*10</f>
        <v>13090</v>
      </c>
      <c r="E10" s="29">
        <f>(943+379)*10</f>
        <v>13220</v>
      </c>
      <c r="F10" s="29">
        <v>14130</v>
      </c>
      <c r="G10" s="29">
        <v>15160</v>
      </c>
      <c r="H10" s="29">
        <v>16560</v>
      </c>
      <c r="I10" s="29">
        <f>(1441+628)*10</f>
        <v>20690</v>
      </c>
      <c r="J10" s="29">
        <v>20990</v>
      </c>
      <c r="K10" s="29">
        <f>(1327+571)*10</f>
        <v>18980</v>
      </c>
      <c r="L10" s="29">
        <v>18890</v>
      </c>
      <c r="M10" s="14"/>
    </row>
    <row r="11" spans="2:15" ht="14">
      <c r="C11" s="27" t="s">
        <v>94</v>
      </c>
      <c r="D11" s="29">
        <f>(495+146)*10</f>
        <v>6410</v>
      </c>
      <c r="E11" s="29">
        <f>(505+6)*10</f>
        <v>5110</v>
      </c>
      <c r="F11" s="29">
        <v>5170</v>
      </c>
      <c r="G11" s="29">
        <v>6020</v>
      </c>
      <c r="H11" s="29">
        <f>(750+27)*10</f>
        <v>7770</v>
      </c>
      <c r="I11" s="29">
        <f>(1007+2)*10</f>
        <v>10090</v>
      </c>
      <c r="J11" s="29">
        <f>(1293+10)*10</f>
        <v>13030</v>
      </c>
      <c r="K11" s="29">
        <f>(1183+4)*10</f>
        <v>11870</v>
      </c>
      <c r="L11" s="29">
        <f>(1150+65)*10</f>
        <v>12150</v>
      </c>
      <c r="M11" s="14"/>
    </row>
    <row r="12" spans="2:15" ht="14">
      <c r="C12" s="27" t="s">
        <v>95</v>
      </c>
      <c r="D12" s="29">
        <v>420</v>
      </c>
      <c r="E12" s="29">
        <v>490</v>
      </c>
      <c r="F12" s="29">
        <v>540</v>
      </c>
      <c r="G12" s="29">
        <v>550</v>
      </c>
      <c r="H12" s="29">
        <v>590</v>
      </c>
      <c r="I12" s="29">
        <v>970</v>
      </c>
      <c r="J12" s="29">
        <v>1120</v>
      </c>
      <c r="K12" s="29">
        <v>820</v>
      </c>
      <c r="L12" s="29">
        <v>830</v>
      </c>
      <c r="M12" s="10"/>
    </row>
    <row r="13" spans="2:15" ht="14">
      <c r="C13" s="27" t="s">
        <v>25</v>
      </c>
      <c r="D13" s="29">
        <v>160</v>
      </c>
      <c r="E13" s="29">
        <v>150</v>
      </c>
      <c r="F13" s="29">
        <v>150</v>
      </c>
      <c r="G13" s="29">
        <v>120</v>
      </c>
      <c r="H13" s="29">
        <v>140</v>
      </c>
      <c r="I13" s="29">
        <v>270</v>
      </c>
      <c r="J13" s="29">
        <v>320</v>
      </c>
      <c r="K13" s="29">
        <v>410</v>
      </c>
      <c r="L13" s="29">
        <v>420</v>
      </c>
      <c r="M13" s="10"/>
    </row>
    <row r="14" spans="2:15">
      <c r="C14" s="3"/>
      <c r="D14" s="6"/>
      <c r="E14" s="6"/>
      <c r="M14" s="10"/>
    </row>
    <row r="15" spans="2:15" ht="14">
      <c r="C15" s="23" t="s">
        <v>21</v>
      </c>
      <c r="D15" s="28">
        <f t="shared" ref="D15:L15" si="1">D6-D8</f>
        <v>14420</v>
      </c>
      <c r="E15" s="28">
        <f t="shared" si="1"/>
        <v>11990</v>
      </c>
      <c r="F15" s="28">
        <f t="shared" si="1"/>
        <v>13170</v>
      </c>
      <c r="G15" s="28">
        <f t="shared" si="1"/>
        <v>6650</v>
      </c>
      <c r="H15" s="28">
        <f t="shared" si="1"/>
        <v>-40</v>
      </c>
      <c r="I15" s="28">
        <f t="shared" si="1"/>
        <v>0</v>
      </c>
      <c r="J15" s="28">
        <f t="shared" si="1"/>
        <v>1800</v>
      </c>
      <c r="K15" s="28">
        <f t="shared" si="1"/>
        <v>-900</v>
      </c>
      <c r="L15" s="28">
        <f t="shared" si="1"/>
        <v>12710</v>
      </c>
      <c r="M15" s="10"/>
    </row>
    <row r="16" spans="2:15" ht="14">
      <c r="C16" s="25" t="s">
        <v>117</v>
      </c>
      <c r="D16" s="30">
        <v>590</v>
      </c>
      <c r="E16" s="30">
        <v>1100</v>
      </c>
      <c r="F16" s="30">
        <v>2460</v>
      </c>
      <c r="G16" s="30">
        <v>2950</v>
      </c>
      <c r="H16" s="30">
        <v>-7990</v>
      </c>
      <c r="I16" s="30">
        <v>5580</v>
      </c>
      <c r="J16" s="30">
        <v>5310</v>
      </c>
      <c r="K16" s="30">
        <v>2750</v>
      </c>
      <c r="L16" s="30">
        <v>2500</v>
      </c>
      <c r="M16" s="10"/>
      <c r="N16" s="2"/>
    </row>
    <row r="17" spans="2:14" ht="14">
      <c r="C17" s="23" t="s">
        <v>22</v>
      </c>
      <c r="D17" s="28">
        <f t="shared" ref="D17:L17" si="2">D15-D16</f>
        <v>13830</v>
      </c>
      <c r="E17" s="28">
        <f t="shared" si="2"/>
        <v>10890</v>
      </c>
      <c r="F17" s="28">
        <f t="shared" si="2"/>
        <v>10710</v>
      </c>
      <c r="G17" s="28">
        <f t="shared" si="2"/>
        <v>3700</v>
      </c>
      <c r="H17" s="28">
        <f t="shared" si="2"/>
        <v>7950</v>
      </c>
      <c r="I17" s="28">
        <f t="shared" si="2"/>
        <v>-5580</v>
      </c>
      <c r="J17" s="28">
        <f t="shared" si="2"/>
        <v>-3510</v>
      </c>
      <c r="K17" s="28">
        <f t="shared" si="2"/>
        <v>-3650</v>
      </c>
      <c r="L17" s="28">
        <f t="shared" si="2"/>
        <v>10210</v>
      </c>
      <c r="M17" s="10"/>
    </row>
    <row r="18" spans="2:14" ht="14">
      <c r="C18" s="25" t="s">
        <v>118</v>
      </c>
      <c r="D18" s="30">
        <v>-630</v>
      </c>
      <c r="E18" s="30">
        <v>-560</v>
      </c>
      <c r="F18" s="30">
        <v>-400</v>
      </c>
      <c r="G18" s="30">
        <v>90</v>
      </c>
      <c r="H18" s="30">
        <f>-(138-72)*10</f>
        <v>-660</v>
      </c>
      <c r="I18" s="30">
        <v>-120</v>
      </c>
      <c r="J18" s="30">
        <v>250</v>
      </c>
      <c r="K18" s="30">
        <v>500</v>
      </c>
      <c r="L18" s="30">
        <v>500</v>
      </c>
      <c r="M18" s="10"/>
    </row>
    <row r="19" spans="2:14" ht="14">
      <c r="C19" s="23" t="s">
        <v>119</v>
      </c>
      <c r="D19" s="28">
        <f t="shared" ref="D19:L19" si="3">D17-D18</f>
        <v>14460</v>
      </c>
      <c r="E19" s="28">
        <f t="shared" si="3"/>
        <v>11450</v>
      </c>
      <c r="F19" s="28">
        <f t="shared" si="3"/>
        <v>11110</v>
      </c>
      <c r="G19" s="28">
        <f t="shared" si="3"/>
        <v>3610</v>
      </c>
      <c r="H19" s="28">
        <f t="shared" si="3"/>
        <v>8610</v>
      </c>
      <c r="I19" s="28">
        <f t="shared" si="3"/>
        <v>-5460</v>
      </c>
      <c r="J19" s="28">
        <f t="shared" si="3"/>
        <v>-3760</v>
      </c>
      <c r="K19" s="28">
        <f t="shared" si="3"/>
        <v>-4150</v>
      </c>
      <c r="L19" s="28">
        <f t="shared" si="3"/>
        <v>9710</v>
      </c>
      <c r="M19" s="10"/>
    </row>
    <row r="20" spans="2:14" ht="14">
      <c r="C20" s="25" t="s">
        <v>103</v>
      </c>
      <c r="D20" s="30">
        <v>7440</v>
      </c>
      <c r="E20" s="30">
        <v>3730</v>
      </c>
      <c r="F20" s="30">
        <v>3310</v>
      </c>
      <c r="G20" s="30">
        <v>1600</v>
      </c>
      <c r="H20" s="30">
        <v>2640</v>
      </c>
      <c r="I20" s="30">
        <v>0</v>
      </c>
      <c r="J20" s="30">
        <v>0</v>
      </c>
      <c r="K20" s="30">
        <v>0</v>
      </c>
      <c r="L20" s="30">
        <v>0</v>
      </c>
      <c r="M20" s="10"/>
      <c r="N20" s="2"/>
    </row>
    <row r="21" spans="2:14" ht="14">
      <c r="C21" s="23" t="s">
        <v>120</v>
      </c>
      <c r="D21" s="28">
        <f t="shared" ref="D21:L21" si="4">D19-D20</f>
        <v>7020</v>
      </c>
      <c r="E21" s="28">
        <f t="shared" si="4"/>
        <v>7720</v>
      </c>
      <c r="F21" s="28">
        <f t="shared" si="4"/>
        <v>7800</v>
      </c>
      <c r="G21" s="28">
        <f t="shared" si="4"/>
        <v>2010</v>
      </c>
      <c r="H21" s="28">
        <f t="shared" si="4"/>
        <v>5970</v>
      </c>
      <c r="I21" s="28">
        <f t="shared" si="4"/>
        <v>-5460</v>
      </c>
      <c r="J21" s="28">
        <f t="shared" si="4"/>
        <v>-3760</v>
      </c>
      <c r="K21" s="28">
        <f t="shared" si="4"/>
        <v>-4150</v>
      </c>
      <c r="L21" s="28">
        <f t="shared" si="4"/>
        <v>9710</v>
      </c>
      <c r="M21" s="10"/>
    </row>
    <row r="22" spans="2:14" ht="14">
      <c r="C22" s="25" t="s">
        <v>116</v>
      </c>
      <c r="D22" s="30">
        <v>0</v>
      </c>
      <c r="E22" s="30">
        <v>4000</v>
      </c>
      <c r="F22" s="30">
        <v>2000</v>
      </c>
      <c r="G22" s="30">
        <v>1000</v>
      </c>
      <c r="H22" s="30">
        <v>0</v>
      </c>
      <c r="I22" s="30">
        <v>0</v>
      </c>
      <c r="J22" s="30">
        <v>0</v>
      </c>
      <c r="K22" s="30">
        <v>0</v>
      </c>
      <c r="L22" s="30">
        <v>5000</v>
      </c>
      <c r="M22" s="10"/>
    </row>
    <row r="23" spans="2:14" ht="14">
      <c r="C23" s="23" t="s">
        <v>20</v>
      </c>
      <c r="D23" s="28">
        <f t="shared" ref="D23:L23" si="5">D21-D22</f>
        <v>7020</v>
      </c>
      <c r="E23" s="28">
        <f t="shared" si="5"/>
        <v>3720</v>
      </c>
      <c r="F23" s="28">
        <f t="shared" si="5"/>
        <v>5800</v>
      </c>
      <c r="G23" s="28">
        <f t="shared" si="5"/>
        <v>1010</v>
      </c>
      <c r="H23" s="28">
        <f t="shared" si="5"/>
        <v>5970</v>
      </c>
      <c r="I23" s="28">
        <f t="shared" si="5"/>
        <v>-5460</v>
      </c>
      <c r="J23" s="28">
        <f t="shared" si="5"/>
        <v>-3760</v>
      </c>
      <c r="K23" s="28">
        <f t="shared" si="5"/>
        <v>-4150</v>
      </c>
      <c r="L23" s="28">
        <f t="shared" si="5"/>
        <v>4710</v>
      </c>
      <c r="M23" s="10"/>
    </row>
    <row r="24" spans="2:14">
      <c r="C24" s="26" t="s">
        <v>113</v>
      </c>
      <c r="D24" s="31">
        <f t="shared" ref="D24:L24" si="6">D20/D19</f>
        <v>0.51452282157676343</v>
      </c>
      <c r="E24" s="31">
        <f t="shared" si="6"/>
        <v>0.32576419213973801</v>
      </c>
      <c r="F24" s="31">
        <f t="shared" si="6"/>
        <v>0.29792979297929795</v>
      </c>
      <c r="G24" s="31">
        <f t="shared" si="6"/>
        <v>0.44321329639889195</v>
      </c>
      <c r="H24" s="31">
        <f t="shared" si="6"/>
        <v>0.30662020905923343</v>
      </c>
      <c r="I24" s="31">
        <f t="shared" si="6"/>
        <v>0</v>
      </c>
      <c r="J24" s="31">
        <f t="shared" si="6"/>
        <v>0</v>
      </c>
      <c r="K24" s="31">
        <f t="shared" si="6"/>
        <v>0</v>
      </c>
      <c r="L24" s="31">
        <f t="shared" si="6"/>
        <v>0</v>
      </c>
      <c r="M24" s="10"/>
    </row>
    <row r="25" spans="2:14">
      <c r="M25" s="10"/>
    </row>
    <row r="26" spans="2:14">
      <c r="M26" s="10"/>
    </row>
    <row r="27" spans="2:14">
      <c r="M27" s="10"/>
    </row>
    <row r="28" spans="2:14" ht="14">
      <c r="B28" s="41" t="s">
        <v>5</v>
      </c>
      <c r="C28" s="42"/>
      <c r="M28" s="10"/>
    </row>
    <row r="29" spans="2:14" outlineLevel="1">
      <c r="D29" s="38">
        <v>2005</v>
      </c>
      <c r="E29" s="38">
        <v>2006</v>
      </c>
      <c r="F29" s="38">
        <v>2007</v>
      </c>
      <c r="G29" s="38">
        <v>2008</v>
      </c>
      <c r="H29" s="38">
        <v>2009</v>
      </c>
      <c r="I29" s="38">
        <v>2010</v>
      </c>
      <c r="J29" s="38">
        <v>2011</v>
      </c>
      <c r="K29" s="38">
        <v>2012</v>
      </c>
      <c r="L29" s="38">
        <v>2013</v>
      </c>
      <c r="M29" s="32" t="s">
        <v>16</v>
      </c>
    </row>
    <row r="30" spans="2:14" ht="14" outlineLevel="1">
      <c r="C30" s="36" t="s">
        <v>2</v>
      </c>
      <c r="D30" s="39">
        <f t="shared" ref="D30:L30" si="7">(D6-D9)/D6</f>
        <v>0.7190496040016674</v>
      </c>
      <c r="E30" s="39">
        <f t="shared" si="7"/>
        <v>0.66580645161290319</v>
      </c>
      <c r="F30" s="39">
        <f t="shared" si="7"/>
        <v>0.59288396209547645</v>
      </c>
      <c r="G30" s="39">
        <f t="shared" si="7"/>
        <v>0.54503729202524387</v>
      </c>
      <c r="H30" s="39">
        <f t="shared" si="7"/>
        <v>0.48857644991212656</v>
      </c>
      <c r="I30" s="39">
        <f t="shared" si="7"/>
        <v>0.57025823686553878</v>
      </c>
      <c r="J30" s="39">
        <f t="shared" si="7"/>
        <v>0.47440794499618028</v>
      </c>
      <c r="K30" s="39">
        <f t="shared" si="7"/>
        <v>0.52535804549283904</v>
      </c>
      <c r="L30" s="39">
        <f t="shared" si="7"/>
        <v>0.625</v>
      </c>
      <c r="M30" s="37">
        <f>AVERAGE(D30:L30)</f>
        <v>0.57848644300021945</v>
      </c>
      <c r="N30" s="2"/>
    </row>
    <row r="31" spans="2:14" ht="14" outlineLevel="1">
      <c r="C31" s="25" t="s">
        <v>3</v>
      </c>
      <c r="D31" s="30">
        <f>45%*D10</f>
        <v>5890.5</v>
      </c>
      <c r="E31" s="30">
        <f>45%*E10</f>
        <v>5949</v>
      </c>
      <c r="F31" s="30">
        <f>45%*F10</f>
        <v>6358.5</v>
      </c>
      <c r="G31" s="30">
        <f>45%*G10</f>
        <v>6822</v>
      </c>
      <c r="H31" s="30">
        <f>45%*H10</f>
        <v>7452</v>
      </c>
      <c r="I31" s="30">
        <f>45%*I10</f>
        <v>9310.5</v>
      </c>
      <c r="J31" s="30">
        <f>45%*J10</f>
        <v>9445.5</v>
      </c>
      <c r="K31" s="30">
        <f>45%*K10</f>
        <v>8541</v>
      </c>
      <c r="L31" s="30">
        <f>45%*L10</f>
        <v>8500.5</v>
      </c>
      <c r="M31" s="19"/>
      <c r="N31" s="40" t="s">
        <v>12</v>
      </c>
    </row>
    <row r="32" spans="2:14" ht="14" outlineLevel="1">
      <c r="C32" s="35" t="s">
        <v>17</v>
      </c>
      <c r="D32" s="39">
        <f>D30-D31/D6</f>
        <v>0.59627969987494789</v>
      </c>
      <c r="E32" s="39">
        <f>E30-E31/E6</f>
        <v>0.53787096774193544</v>
      </c>
      <c r="F32" s="39">
        <f>F30-F31/F6</f>
        <v>0.47919721079921329</v>
      </c>
      <c r="G32" s="39">
        <f>G30-G31/G6</f>
        <v>0.41457257601835917</v>
      </c>
      <c r="H32" s="39">
        <f>H30-H31/H6</f>
        <v>0.34305799648506152</v>
      </c>
      <c r="I32" s="39">
        <f>I30-I31/I6</f>
        <v>0.40444345503116658</v>
      </c>
      <c r="J32" s="39">
        <f>J30-J31/J6</f>
        <v>0.35414438502673795</v>
      </c>
      <c r="K32" s="39">
        <f>K30-K31/K6</f>
        <v>0.38144903117101936</v>
      </c>
      <c r="L32" s="39">
        <f>L30-L31/L6</f>
        <v>0.50693750000000004</v>
      </c>
      <c r="M32" s="37">
        <f>AVERAGE(D32:L32)</f>
        <v>0.44643920246093788</v>
      </c>
      <c r="N32" s="2"/>
    </row>
    <row r="33" spans="2:16" outlineLevel="1">
      <c r="M33" s="19"/>
    </row>
    <row r="34" spans="2:16" ht="14" outlineLevel="1">
      <c r="C34" s="35" t="s">
        <v>97</v>
      </c>
      <c r="D34" s="39">
        <f t="shared" ref="D34:L34" si="8">(D15+D13)/D6</f>
        <v>0.30387661525635684</v>
      </c>
      <c r="E34" s="39">
        <f t="shared" si="8"/>
        <v>0.26107526881720428</v>
      </c>
      <c r="F34" s="39">
        <f t="shared" si="8"/>
        <v>0.23815483640264618</v>
      </c>
      <c r="G34" s="39">
        <f t="shared" si="8"/>
        <v>0.12947026200038247</v>
      </c>
      <c r="H34" s="39">
        <f t="shared" si="8"/>
        <v>1.9527436047646943E-3</v>
      </c>
      <c r="I34" s="39">
        <f t="shared" si="8"/>
        <v>4.8085485307212822E-3</v>
      </c>
      <c r="J34" s="39">
        <f t="shared" si="8"/>
        <v>2.6992615227909345E-2</v>
      </c>
      <c r="K34" s="39">
        <f t="shared" si="8"/>
        <v>-8.2561078348778426E-3</v>
      </c>
      <c r="L34" s="39">
        <f t="shared" si="8"/>
        <v>0.18236111111111111</v>
      </c>
      <c r="M34" s="37">
        <f>AVERAGE(D34:L34)</f>
        <v>0.12671509923513538</v>
      </c>
      <c r="N34" s="2"/>
    </row>
    <row r="35" spans="2:16" outlineLevel="1">
      <c r="M35" s="19"/>
    </row>
    <row r="36" spans="2:16" ht="14" outlineLevel="1">
      <c r="C36" s="35" t="s">
        <v>98</v>
      </c>
      <c r="D36" s="39">
        <f t="shared" ref="D36:L36" si="9">D17/D6</f>
        <v>0.28824510212588578</v>
      </c>
      <c r="E36" s="39">
        <f t="shared" si="9"/>
        <v>0.23419354838709677</v>
      </c>
      <c r="F36" s="39">
        <f t="shared" si="9"/>
        <v>0.19148936170212766</v>
      </c>
      <c r="G36" s="39">
        <f t="shared" si="9"/>
        <v>7.0759227385733411E-2</v>
      </c>
      <c r="H36" s="39">
        <f t="shared" si="9"/>
        <v>0.15524311657879319</v>
      </c>
      <c r="I36" s="39">
        <f t="shared" si="9"/>
        <v>-9.9376669634906503E-2</v>
      </c>
      <c r="J36" s="39">
        <f t="shared" si="9"/>
        <v>-4.4690603514132926E-2</v>
      </c>
      <c r="K36" s="39">
        <f t="shared" si="9"/>
        <v>-6.1499578770008424E-2</v>
      </c>
      <c r="L36" s="39">
        <f t="shared" si="9"/>
        <v>0.14180555555555555</v>
      </c>
      <c r="M36" s="37">
        <f>AVERAGE(D36:L36)</f>
        <v>9.7352117757349366E-2</v>
      </c>
      <c r="N36" s="40" t="s">
        <v>4</v>
      </c>
    </row>
    <row r="37" spans="2:16" outlineLevel="1">
      <c r="M37" s="19"/>
    </row>
    <row r="38" spans="2:16" ht="14" outlineLevel="1">
      <c r="C38" s="35" t="s">
        <v>44</v>
      </c>
      <c r="D38" s="39">
        <f t="shared" ref="D38:L38" si="10">D21/D6</f>
        <v>0.14631096290120885</v>
      </c>
      <c r="E38" s="39">
        <f t="shared" si="10"/>
        <v>0.16602150537634408</v>
      </c>
      <c r="F38" s="39">
        <f t="shared" si="10"/>
        <v>0.13946003933488288</v>
      </c>
      <c r="G38" s="39">
        <f t="shared" si="10"/>
        <v>3.8439472174411932E-2</v>
      </c>
      <c r="H38" s="39">
        <f t="shared" si="10"/>
        <v>0.11657879320445226</v>
      </c>
      <c r="I38" s="39">
        <f t="shared" si="10"/>
        <v>-9.7239536954585926E-2</v>
      </c>
      <c r="J38" s="39">
        <f t="shared" si="10"/>
        <v>-4.787369493251846E-2</v>
      </c>
      <c r="K38" s="39">
        <f t="shared" si="10"/>
        <v>-6.9924178601516424E-2</v>
      </c>
      <c r="L38" s="39">
        <f t="shared" si="10"/>
        <v>0.1348611111111111</v>
      </c>
      <c r="M38" s="37">
        <f>AVERAGE(D38:L38)</f>
        <v>5.8514941512643373E-2</v>
      </c>
      <c r="N38" s="2"/>
    </row>
    <row r="39" spans="2:16" outlineLevel="1">
      <c r="M39" s="19"/>
    </row>
    <row r="40" spans="2:16" outlineLevel="1">
      <c r="M40" s="10"/>
    </row>
    <row r="41" spans="2:16" outlineLevel="1"/>
    <row r="42" spans="2:16" ht="14" outlineLevel="1">
      <c r="B42" s="41" t="s">
        <v>9</v>
      </c>
      <c r="C42" s="42"/>
    </row>
    <row r="43" spans="2:16" outlineLevel="1">
      <c r="D43" s="21"/>
      <c r="E43" s="21"/>
      <c r="F43" s="21"/>
      <c r="G43" s="21"/>
      <c r="H43" s="21"/>
      <c r="I43" s="21"/>
      <c r="J43" s="21"/>
      <c r="K43" s="21"/>
      <c r="L43" s="21"/>
      <c r="M43" s="32" t="s">
        <v>16</v>
      </c>
    </row>
    <row r="44" spans="2:16" ht="14" outlineLevel="1">
      <c r="C44" s="35" t="s">
        <v>65</v>
      </c>
      <c r="D44" s="39">
        <f t="shared" ref="D44:L44" si="11">D11/D6</f>
        <v>0.13359733222175907</v>
      </c>
      <c r="E44" s="39">
        <f t="shared" si="11"/>
        <v>0.10989247311827957</v>
      </c>
      <c r="F44" s="39">
        <f t="shared" si="11"/>
        <v>9.2436974789915971E-2</v>
      </c>
      <c r="G44" s="39">
        <f t="shared" si="11"/>
        <v>0.11512717536813923</v>
      </c>
      <c r="H44" s="39">
        <f t="shared" si="11"/>
        <v>0.15172817809021674</v>
      </c>
      <c r="I44" s="39">
        <f t="shared" si="11"/>
        <v>0.17969723953695457</v>
      </c>
      <c r="J44" s="39">
        <f t="shared" si="11"/>
        <v>0.16590272472625414</v>
      </c>
      <c r="K44" s="39">
        <f t="shared" si="11"/>
        <v>0.2</v>
      </c>
      <c r="L44" s="39">
        <f t="shared" si="11"/>
        <v>0.16875000000000001</v>
      </c>
      <c r="M44" s="37">
        <f>AVERAGE(D44:L44)</f>
        <v>0.14634801087239102</v>
      </c>
      <c r="P44" s="18"/>
    </row>
    <row r="45" spans="2:16" ht="14" outlineLevel="1">
      <c r="C45" s="35" t="s">
        <v>23</v>
      </c>
      <c r="D45" s="39">
        <f t="shared" ref="D45:L45" si="12">D10/D6</f>
        <v>0.27282200917048771</v>
      </c>
      <c r="E45" s="39">
        <f t="shared" si="12"/>
        <v>0.2843010752688172</v>
      </c>
      <c r="F45" s="39">
        <f t="shared" si="12"/>
        <v>0.25263722510280706</v>
      </c>
      <c r="G45" s="39">
        <f t="shared" si="12"/>
        <v>0.28992159112641042</v>
      </c>
      <c r="H45" s="39">
        <f t="shared" si="12"/>
        <v>0.32337434094903339</v>
      </c>
      <c r="I45" s="39">
        <f t="shared" si="12"/>
        <v>0.3684772929652716</v>
      </c>
      <c r="J45" s="39">
        <f t="shared" si="12"/>
        <v>0.26725235548764958</v>
      </c>
      <c r="K45" s="39">
        <f t="shared" si="12"/>
        <v>0.3197978096040438</v>
      </c>
      <c r="L45" s="39">
        <f t="shared" si="12"/>
        <v>0.2623611111111111</v>
      </c>
      <c r="M45" s="37">
        <f>AVERAGE(D45:L45)</f>
        <v>0.29343831230951462</v>
      </c>
      <c r="P45" s="18"/>
    </row>
    <row r="46" spans="2:16" ht="14" outlineLevel="1">
      <c r="C46" s="35" t="s">
        <v>49</v>
      </c>
      <c r="D46" s="39">
        <f t="shared" ref="D46:L46" si="13">D13/D6</f>
        <v>3.3347228011671531E-3</v>
      </c>
      <c r="E46" s="39">
        <f t="shared" si="13"/>
        <v>3.2258064516129032E-3</v>
      </c>
      <c r="F46" s="39">
        <f t="shared" si="13"/>
        <v>2.6819238333631325E-3</v>
      </c>
      <c r="G46" s="39">
        <f t="shared" si="13"/>
        <v>2.2948938611589212E-3</v>
      </c>
      <c r="H46" s="39">
        <f t="shared" si="13"/>
        <v>2.7338410466705722E-3</v>
      </c>
      <c r="I46" s="39">
        <f t="shared" si="13"/>
        <v>4.8085485307212822E-3</v>
      </c>
      <c r="J46" s="39">
        <f t="shared" si="13"/>
        <v>4.0743570155334858E-3</v>
      </c>
      <c r="K46" s="39">
        <f t="shared" si="13"/>
        <v>6.9081718618365625E-3</v>
      </c>
      <c r="L46" s="39">
        <f t="shared" si="13"/>
        <v>5.8333333333333336E-3</v>
      </c>
      <c r="M46" s="37">
        <f>AVERAGE(D46:L46)</f>
        <v>3.9883998594885941E-3</v>
      </c>
      <c r="O46" s="17"/>
      <c r="P46" s="18"/>
    </row>
    <row r="47" spans="2:16" ht="14" outlineLevel="1">
      <c r="C47" s="35" t="s">
        <v>50</v>
      </c>
      <c r="D47" s="39">
        <f t="shared" ref="D47:L47" si="14">D16/D6</f>
        <v>1.2296790329303876E-2</v>
      </c>
      <c r="E47" s="39">
        <f t="shared" si="14"/>
        <v>2.3655913978494623E-2</v>
      </c>
      <c r="F47" s="39">
        <f t="shared" si="14"/>
        <v>4.3983550867155372E-2</v>
      </c>
      <c r="G47" s="39">
        <f t="shared" si="14"/>
        <v>5.6416140753490149E-2</v>
      </c>
      <c r="H47" s="39">
        <f t="shared" si="14"/>
        <v>-0.15602421402069908</v>
      </c>
      <c r="I47" s="39">
        <f t="shared" si="14"/>
        <v>9.9376669634906503E-2</v>
      </c>
      <c r="J47" s="39">
        <f t="shared" si="14"/>
        <v>6.760886172650879E-2</v>
      </c>
      <c r="K47" s="39">
        <f t="shared" si="14"/>
        <v>4.633529907329402E-2</v>
      </c>
      <c r="L47" s="39">
        <f t="shared" si="14"/>
        <v>3.4722222222222224E-2</v>
      </c>
      <c r="M47" s="37">
        <f>AVERAGE(D47:L47)</f>
        <v>2.5374581618297382E-2</v>
      </c>
      <c r="P47" s="18"/>
    </row>
    <row r="48" spans="2:16" ht="14" outlineLevel="1">
      <c r="C48" s="35" t="s">
        <v>43</v>
      </c>
      <c r="D48" s="39">
        <f t="shared" ref="D48:L48" si="15">D15/D6</f>
        <v>0.30054189245518964</v>
      </c>
      <c r="E48" s="39">
        <f t="shared" si="15"/>
        <v>0.25784946236559142</v>
      </c>
      <c r="F48" s="39">
        <f t="shared" si="15"/>
        <v>0.23547291256928304</v>
      </c>
      <c r="G48" s="39">
        <f t="shared" si="15"/>
        <v>0.12717536813922356</v>
      </c>
      <c r="H48" s="39">
        <f t="shared" si="15"/>
        <v>-7.810974419058778E-4</v>
      </c>
      <c r="I48" s="39">
        <f t="shared" si="15"/>
        <v>0</v>
      </c>
      <c r="J48" s="39">
        <f t="shared" si="15"/>
        <v>2.291825821237586E-2</v>
      </c>
      <c r="K48" s="39">
        <f t="shared" si="15"/>
        <v>-1.5164279696714406E-2</v>
      </c>
      <c r="L48" s="39">
        <f t="shared" si="15"/>
        <v>0.17652777777777778</v>
      </c>
      <c r="M48" s="37">
        <f>AVERAGE(D48:L48)</f>
        <v>0.12272669937564677</v>
      </c>
    </row>
    <row r="49" spans="2:14" outlineLevel="1"/>
    <row r="50" spans="2:14" outlineLevel="1"/>
    <row r="52" spans="2:14" ht="14">
      <c r="B52" s="41" t="s">
        <v>88</v>
      </c>
      <c r="C52" s="42"/>
    </row>
    <row r="53" spans="2:14" hidden="1" outlineLevel="1">
      <c r="D53" s="21">
        <v>2005</v>
      </c>
      <c r="E53" s="21">
        <v>2006</v>
      </c>
      <c r="F53" s="21">
        <v>2007</v>
      </c>
      <c r="G53" s="21">
        <v>2008</v>
      </c>
      <c r="H53" s="21">
        <v>2009</v>
      </c>
      <c r="I53" s="21">
        <v>2010</v>
      </c>
      <c r="J53" s="21">
        <v>2011</v>
      </c>
      <c r="K53" s="21">
        <v>2012</v>
      </c>
      <c r="L53" s="21">
        <v>2013</v>
      </c>
      <c r="M53" s="32" t="s">
        <v>16</v>
      </c>
    </row>
    <row r="54" spans="2:14" ht="14" hidden="1" outlineLevel="1">
      <c r="C54" s="24" t="s">
        <v>58</v>
      </c>
      <c r="D54" s="30">
        <f t="shared" ref="D54:L54" si="16">D21</f>
        <v>7020</v>
      </c>
      <c r="E54" s="30">
        <f t="shared" si="16"/>
        <v>7720</v>
      </c>
      <c r="F54" s="30">
        <f t="shared" si="16"/>
        <v>7800</v>
      </c>
      <c r="G54" s="30">
        <f t="shared" si="16"/>
        <v>2010</v>
      </c>
      <c r="H54" s="30">
        <f t="shared" si="16"/>
        <v>5970</v>
      </c>
      <c r="I54" s="30">
        <f t="shared" si="16"/>
        <v>-5460</v>
      </c>
      <c r="J54" s="30">
        <f t="shared" si="16"/>
        <v>-3760</v>
      </c>
      <c r="K54" s="30">
        <f t="shared" si="16"/>
        <v>-4150</v>
      </c>
      <c r="L54" s="30">
        <f t="shared" si="16"/>
        <v>9710</v>
      </c>
    </row>
    <row r="55" spans="2:14" ht="14" hidden="1" outlineLevel="1">
      <c r="C55" s="24" t="s">
        <v>54</v>
      </c>
      <c r="D55" s="30">
        <f>D79</f>
        <v>26150</v>
      </c>
      <c r="E55" s="30">
        <f t="shared" ref="E55:L55" si="17">E79</f>
        <v>29870</v>
      </c>
      <c r="F55" s="30">
        <f t="shared" si="17"/>
        <v>35670</v>
      </c>
      <c r="G55" s="30">
        <f t="shared" si="17"/>
        <v>36680</v>
      </c>
      <c r="H55" s="30">
        <f t="shared" si="17"/>
        <v>42650</v>
      </c>
      <c r="I55" s="30">
        <f t="shared" si="17"/>
        <v>47190</v>
      </c>
      <c r="J55" s="30">
        <f t="shared" si="17"/>
        <v>43430</v>
      </c>
      <c r="K55" s="30">
        <f t="shared" si="17"/>
        <v>39280</v>
      </c>
      <c r="L55" s="30">
        <f t="shared" si="17"/>
        <v>43990</v>
      </c>
    </row>
    <row r="56" spans="2:14" hidden="1" outlineLevel="1"/>
    <row r="57" spans="2:14" ht="14" hidden="1" outlineLevel="1">
      <c r="C57" s="35" t="s">
        <v>59</v>
      </c>
      <c r="D57" s="39">
        <f>D54/D55</f>
        <v>0.26845124282982791</v>
      </c>
      <c r="E57" s="39">
        <f t="shared" ref="E57:L57" si="18">E54/E55</f>
        <v>0.25845329762303315</v>
      </c>
      <c r="F57" s="39">
        <f t="shared" si="18"/>
        <v>0.21867115222876365</v>
      </c>
      <c r="G57" s="39">
        <f t="shared" si="18"/>
        <v>5.4798255179934571E-2</v>
      </c>
      <c r="H57" s="39">
        <f t="shared" si="18"/>
        <v>0.13997655334114889</v>
      </c>
      <c r="I57" s="39">
        <f t="shared" si="18"/>
        <v>-0.11570247933884298</v>
      </c>
      <c r="J57" s="39">
        <f t="shared" si="18"/>
        <v>-8.6576099470412157E-2</v>
      </c>
      <c r="K57" s="39">
        <f t="shared" si="18"/>
        <v>-0.10565173116089613</v>
      </c>
      <c r="L57" s="39">
        <f t="shared" si="18"/>
        <v>0.22073198454194135</v>
      </c>
      <c r="M57" s="43">
        <f>AVERAGE(D57:L57)</f>
        <v>9.4794686197166481E-2</v>
      </c>
      <c r="N57" s="2"/>
    </row>
    <row r="58" spans="2:14" hidden="1" outlineLevel="1">
      <c r="M58" s="44"/>
    </row>
    <row r="59" spans="2:14" ht="14" hidden="1" outlineLevel="1">
      <c r="C59" s="24" t="s">
        <v>61</v>
      </c>
      <c r="D59" s="52">
        <v>0.3</v>
      </c>
      <c r="M59" s="44"/>
    </row>
    <row r="60" spans="2:14" ht="14" hidden="1" outlineLevel="1">
      <c r="C60" s="24" t="s">
        <v>60</v>
      </c>
      <c r="D60" s="30">
        <f>D17*(1-$D$59)</f>
        <v>9681</v>
      </c>
      <c r="E60" s="30">
        <f t="shared" ref="E60:L60" si="19">E17*(1-$D$59)</f>
        <v>7622.9999999999991</v>
      </c>
      <c r="F60" s="30">
        <f t="shared" si="19"/>
        <v>7496.9999999999991</v>
      </c>
      <c r="G60" s="30">
        <f t="shared" si="19"/>
        <v>2590</v>
      </c>
      <c r="H60" s="30">
        <f t="shared" si="19"/>
        <v>5565</v>
      </c>
      <c r="I60" s="30">
        <f t="shared" si="19"/>
        <v>-3905.9999999999995</v>
      </c>
      <c r="J60" s="30">
        <f t="shared" si="19"/>
        <v>-2457</v>
      </c>
      <c r="K60" s="30">
        <f t="shared" si="19"/>
        <v>-2555</v>
      </c>
      <c r="L60" s="30">
        <f t="shared" si="19"/>
        <v>7147</v>
      </c>
      <c r="M60" s="44"/>
    </row>
    <row r="61" spans="2:14" ht="14" hidden="1" outlineLevel="1">
      <c r="C61" s="24" t="s">
        <v>110</v>
      </c>
      <c r="D61" s="30">
        <f>D82</f>
        <v>0</v>
      </c>
      <c r="E61" s="30">
        <f t="shared" ref="E61:L61" si="20">E82</f>
        <v>90</v>
      </c>
      <c r="F61" s="30">
        <f t="shared" si="20"/>
        <v>10</v>
      </c>
      <c r="G61" s="30">
        <f t="shared" si="20"/>
        <v>90</v>
      </c>
      <c r="H61" s="30">
        <f t="shared" si="20"/>
        <v>100</v>
      </c>
      <c r="I61" s="30">
        <f t="shared" si="20"/>
        <v>540</v>
      </c>
      <c r="J61" s="30">
        <f t="shared" si="20"/>
        <v>10540</v>
      </c>
      <c r="K61" s="30">
        <f t="shared" si="20"/>
        <v>10000</v>
      </c>
      <c r="L61" s="30">
        <f t="shared" si="20"/>
        <v>10000</v>
      </c>
      <c r="M61" s="44"/>
    </row>
    <row r="62" spans="2:14" ht="14" hidden="1" outlineLevel="1">
      <c r="C62" s="24" t="s">
        <v>62</v>
      </c>
      <c r="D62" s="30">
        <f t="shared" ref="D62:L62" si="21">D61+D55</f>
        <v>26150</v>
      </c>
      <c r="E62" s="30">
        <f t="shared" si="21"/>
        <v>29960</v>
      </c>
      <c r="F62" s="30">
        <f t="shared" si="21"/>
        <v>35680</v>
      </c>
      <c r="G62" s="30">
        <f t="shared" si="21"/>
        <v>36770</v>
      </c>
      <c r="H62" s="30">
        <f t="shared" si="21"/>
        <v>42750</v>
      </c>
      <c r="I62" s="30">
        <f t="shared" si="21"/>
        <v>47730</v>
      </c>
      <c r="J62" s="30">
        <f t="shared" si="21"/>
        <v>53970</v>
      </c>
      <c r="K62" s="30">
        <f t="shared" si="21"/>
        <v>49280</v>
      </c>
      <c r="L62" s="30">
        <f t="shared" si="21"/>
        <v>53990</v>
      </c>
      <c r="M62" s="44"/>
    </row>
    <row r="63" spans="2:14" hidden="1" outlineLevel="1">
      <c r="M63" s="44"/>
    </row>
    <row r="64" spans="2:14" ht="14" hidden="1" outlineLevel="1">
      <c r="C64" s="35" t="s">
        <v>111</v>
      </c>
      <c r="D64" s="39">
        <f>D60/D62</f>
        <v>0.37021032504780116</v>
      </c>
      <c r="E64" s="39">
        <f t="shared" ref="E64:L64" si="22">E60/E62</f>
        <v>0.25443925233644854</v>
      </c>
      <c r="F64" s="39">
        <f t="shared" si="22"/>
        <v>0.21011771300448429</v>
      </c>
      <c r="G64" s="39">
        <f t="shared" si="22"/>
        <v>7.04378569485994E-2</v>
      </c>
      <c r="H64" s="39">
        <f t="shared" si="22"/>
        <v>0.13017543859649122</v>
      </c>
      <c r="I64" s="39">
        <f t="shared" si="22"/>
        <v>-8.1835323695788803E-2</v>
      </c>
      <c r="J64" s="39">
        <f t="shared" si="22"/>
        <v>-4.5525291828793772E-2</v>
      </c>
      <c r="K64" s="39">
        <f t="shared" si="22"/>
        <v>-5.1846590909090912E-2</v>
      </c>
      <c r="L64" s="39">
        <f t="shared" si="22"/>
        <v>0.13237636599370253</v>
      </c>
      <c r="M64" s="43">
        <f>AVERAGE(D64:L64)</f>
        <v>0.10983886061042818</v>
      </c>
      <c r="N64" s="2"/>
    </row>
    <row r="65" spans="2:13" hidden="1" outlineLevel="1">
      <c r="M65" s="44"/>
    </row>
    <row r="66" spans="2:13" collapsed="1">
      <c r="D66" s="8"/>
      <c r="E66" s="8"/>
      <c r="F66" s="8"/>
      <c r="G66" s="8"/>
      <c r="H66" s="8"/>
      <c r="I66" s="8"/>
      <c r="J66" s="8"/>
      <c r="K66" s="8"/>
      <c r="L66" s="8"/>
    </row>
    <row r="69" spans="2:13" ht="17">
      <c r="B69" s="20" t="s">
        <v>72</v>
      </c>
      <c r="D69" s="21">
        <v>2005</v>
      </c>
      <c r="E69" s="21">
        <v>2006</v>
      </c>
      <c r="F69" s="21">
        <v>2007</v>
      </c>
      <c r="G69" s="21">
        <v>2008</v>
      </c>
      <c r="H69" s="21">
        <v>2009</v>
      </c>
      <c r="I69" s="21">
        <v>2010</v>
      </c>
      <c r="J69" s="21">
        <v>2011</v>
      </c>
      <c r="K69" s="21">
        <v>2012</v>
      </c>
      <c r="L69" s="21">
        <v>2013</v>
      </c>
    </row>
    <row r="70" spans="2:13" ht="14">
      <c r="C70" s="24" t="s">
        <v>109</v>
      </c>
      <c r="D70" s="30">
        <v>10490</v>
      </c>
      <c r="E70" s="30">
        <f>(2591-1309+13)*10</f>
        <v>12950</v>
      </c>
      <c r="F70" s="30">
        <f>(1889-1543)*10</f>
        <v>3460</v>
      </c>
      <c r="G70" s="30">
        <v>21870</v>
      </c>
      <c r="H70" s="30">
        <v>26060</v>
      </c>
      <c r="I70" s="30">
        <v>16220</v>
      </c>
      <c r="J70" s="30">
        <f>8980-400</f>
        <v>8580</v>
      </c>
      <c r="K70" s="30">
        <f>(1380-243)*10+8950</f>
        <v>20320</v>
      </c>
      <c r="L70" s="30">
        <f>(2204+157)*10+3380</f>
        <v>26990</v>
      </c>
    </row>
    <row r="71" spans="2:13" ht="14">
      <c r="C71" s="24" t="s">
        <v>107</v>
      </c>
      <c r="D71" s="30">
        <v>35360</v>
      </c>
      <c r="E71" s="30">
        <v>17840</v>
      </c>
      <c r="F71" s="30">
        <v>42440</v>
      </c>
      <c r="G71" s="30">
        <f>(1999)*10</f>
        <v>19990</v>
      </c>
      <c r="H71" s="30">
        <f>(2247+190)*10</f>
        <v>24370</v>
      </c>
      <c r="I71" s="30">
        <f>(3345-227)*10</f>
        <v>31180</v>
      </c>
      <c r="J71" s="30">
        <f>(4665+57)*10</f>
        <v>47220</v>
      </c>
      <c r="K71" s="30">
        <v>26580</v>
      </c>
      <c r="L71" s="30">
        <v>27000</v>
      </c>
    </row>
    <row r="72" spans="2:13" ht="14">
      <c r="C72" s="24" t="s">
        <v>63</v>
      </c>
      <c r="D72" s="30">
        <v>240</v>
      </c>
      <c r="E72" s="30">
        <v>3890</v>
      </c>
      <c r="F72" s="30">
        <v>1160</v>
      </c>
      <c r="G72" s="30">
        <v>3110</v>
      </c>
      <c r="H72" s="30">
        <v>2710</v>
      </c>
      <c r="I72" s="30">
        <v>2270</v>
      </c>
      <c r="J72" s="30">
        <v>1530</v>
      </c>
      <c r="K72" s="30">
        <v>3500</v>
      </c>
      <c r="L72" s="30">
        <v>5000</v>
      </c>
    </row>
    <row r="73" spans="2:13" ht="14">
      <c r="C73" s="24" t="s">
        <v>64</v>
      </c>
      <c r="D73" s="30">
        <v>360</v>
      </c>
      <c r="E73" s="30">
        <v>510</v>
      </c>
      <c r="F73" s="30">
        <v>370</v>
      </c>
      <c r="G73" s="30">
        <v>150</v>
      </c>
      <c r="H73" s="30">
        <v>210</v>
      </c>
      <c r="I73" s="30">
        <v>2310</v>
      </c>
      <c r="J73" s="30">
        <v>270</v>
      </c>
      <c r="K73" s="30">
        <v>330</v>
      </c>
      <c r="L73" s="30">
        <v>0</v>
      </c>
    </row>
    <row r="74" spans="2:13" ht="14">
      <c r="C74" s="24" t="s">
        <v>96</v>
      </c>
      <c r="D74" s="30">
        <v>440</v>
      </c>
      <c r="E74" s="30">
        <v>680</v>
      </c>
      <c r="F74" s="30">
        <v>1010</v>
      </c>
      <c r="G74" s="30">
        <v>2450</v>
      </c>
      <c r="H74" s="30">
        <v>1620</v>
      </c>
      <c r="I74" s="30">
        <v>5830</v>
      </c>
      <c r="J74" s="30">
        <v>6490</v>
      </c>
      <c r="K74" s="30">
        <v>8460</v>
      </c>
      <c r="L74" s="30">
        <v>6000</v>
      </c>
    </row>
    <row r="75" spans="2:13" ht="14">
      <c r="C75" s="24" t="s">
        <v>34</v>
      </c>
      <c r="D75" s="30">
        <v>2910</v>
      </c>
      <c r="E75" s="30">
        <v>3010</v>
      </c>
      <c r="F75" s="30">
        <v>3010</v>
      </c>
      <c r="G75" s="30">
        <v>2410</v>
      </c>
      <c r="H75" s="30">
        <v>2200</v>
      </c>
      <c r="I75" s="30">
        <v>3640</v>
      </c>
      <c r="J75" s="30">
        <v>2060</v>
      </c>
      <c r="K75" s="30">
        <v>1800</v>
      </c>
      <c r="L75" s="30">
        <v>1500</v>
      </c>
    </row>
    <row r="76" spans="2:13" ht="14">
      <c r="C76" s="23" t="s">
        <v>35</v>
      </c>
      <c r="D76" s="28">
        <f>SUM(D70:D75)</f>
        <v>49800</v>
      </c>
      <c r="E76" s="28">
        <f t="shared" ref="E76:L76" si="23">SUM(E70:E75)</f>
        <v>38880</v>
      </c>
      <c r="F76" s="28">
        <f t="shared" si="23"/>
        <v>51450</v>
      </c>
      <c r="G76" s="28">
        <f t="shared" si="23"/>
        <v>49980</v>
      </c>
      <c r="H76" s="28">
        <f t="shared" si="23"/>
        <v>57170</v>
      </c>
      <c r="I76" s="28">
        <f t="shared" si="23"/>
        <v>61450</v>
      </c>
      <c r="J76" s="28">
        <f t="shared" si="23"/>
        <v>66150</v>
      </c>
      <c r="K76" s="28">
        <f t="shared" si="23"/>
        <v>60990</v>
      </c>
      <c r="L76" s="28">
        <f t="shared" si="23"/>
        <v>66490</v>
      </c>
    </row>
    <row r="77" spans="2:13">
      <c r="C77" s="6"/>
      <c r="D77" s="7"/>
      <c r="E77" s="7"/>
      <c r="F77" s="7"/>
      <c r="G77" s="7"/>
      <c r="H77" s="7"/>
      <c r="I77" s="7"/>
      <c r="J77" s="12"/>
      <c r="K77" s="7"/>
      <c r="L77" s="7"/>
    </row>
    <row r="78" spans="2:13">
      <c r="C78" s="6"/>
      <c r="I78" s="15"/>
    </row>
    <row r="79" spans="2:13" ht="14">
      <c r="C79" s="33" t="s">
        <v>121</v>
      </c>
      <c r="D79" s="34">
        <f t="shared" ref="D79:L79" si="24">D80+D81</f>
        <v>26150</v>
      </c>
      <c r="E79" s="34">
        <f t="shared" si="24"/>
        <v>29870</v>
      </c>
      <c r="F79" s="34">
        <f t="shared" si="24"/>
        <v>35670</v>
      </c>
      <c r="G79" s="34">
        <f t="shared" si="24"/>
        <v>36680</v>
      </c>
      <c r="H79" s="34">
        <f t="shared" si="24"/>
        <v>42650</v>
      </c>
      <c r="I79" s="34">
        <f t="shared" si="24"/>
        <v>47190</v>
      </c>
      <c r="J79" s="34">
        <f t="shared" si="24"/>
        <v>43430</v>
      </c>
      <c r="K79" s="34">
        <f t="shared" si="24"/>
        <v>39280</v>
      </c>
      <c r="L79" s="34">
        <f t="shared" si="24"/>
        <v>43990</v>
      </c>
    </row>
    <row r="80" spans="2:13" ht="14">
      <c r="C80" s="27" t="s">
        <v>45</v>
      </c>
      <c r="D80" s="29">
        <v>4550</v>
      </c>
      <c r="E80" s="29">
        <v>4550</v>
      </c>
      <c r="F80" s="29">
        <v>4550</v>
      </c>
      <c r="G80" s="29">
        <v>4550</v>
      </c>
      <c r="H80" s="29">
        <v>4550</v>
      </c>
      <c r="I80" s="29">
        <v>14550</v>
      </c>
      <c r="J80" s="29">
        <v>14550</v>
      </c>
      <c r="K80" s="29">
        <v>14550</v>
      </c>
      <c r="L80" s="29">
        <v>14550</v>
      </c>
    </row>
    <row r="81" spans="2:14" ht="14">
      <c r="C81" s="27" t="s">
        <v>46</v>
      </c>
      <c r="D81" s="29">
        <v>21600</v>
      </c>
      <c r="E81" s="29">
        <f>D81+E23</f>
        <v>25320</v>
      </c>
      <c r="F81" s="29">
        <f>E81+F23</f>
        <v>31120</v>
      </c>
      <c r="G81" s="29">
        <f>F81+G23</f>
        <v>32130</v>
      </c>
      <c r="H81" s="29">
        <f>G81+H23</f>
        <v>38100</v>
      </c>
      <c r="I81" s="29">
        <f>H81+I23</f>
        <v>32640</v>
      </c>
      <c r="J81" s="29">
        <f>I81+J23</f>
        <v>28880</v>
      </c>
      <c r="K81" s="29">
        <f>J81+K23</f>
        <v>24730</v>
      </c>
      <c r="L81" s="29">
        <f>K81+L23</f>
        <v>29440</v>
      </c>
    </row>
    <row r="82" spans="2:14" ht="14">
      <c r="C82" s="24" t="s">
        <v>122</v>
      </c>
      <c r="D82" s="30">
        <v>0</v>
      </c>
      <c r="E82" s="30">
        <v>90</v>
      </c>
      <c r="F82" s="30">
        <v>10</v>
      </c>
      <c r="G82" s="30">
        <v>90</v>
      </c>
      <c r="H82" s="30">
        <v>100</v>
      </c>
      <c r="I82" s="30">
        <v>540</v>
      </c>
      <c r="J82" s="30">
        <v>10540</v>
      </c>
      <c r="K82" s="30">
        <v>10000</v>
      </c>
      <c r="L82" s="30">
        <v>10000</v>
      </c>
    </row>
    <row r="83" spans="2:14" ht="14">
      <c r="C83" s="24" t="s">
        <v>38</v>
      </c>
      <c r="D83" s="30">
        <v>5000</v>
      </c>
      <c r="E83" s="30">
        <v>5000</v>
      </c>
      <c r="F83" s="30">
        <v>9300</v>
      </c>
      <c r="G83" s="30">
        <v>9930</v>
      </c>
      <c r="H83" s="30">
        <v>8770</v>
      </c>
      <c r="I83" s="30">
        <v>9580</v>
      </c>
      <c r="J83" s="30">
        <v>9240</v>
      </c>
      <c r="K83" s="30">
        <v>7550</v>
      </c>
      <c r="L83" s="30">
        <v>8500</v>
      </c>
    </row>
    <row r="84" spans="2:14" ht="14">
      <c r="C84" s="24" t="s">
        <v>39</v>
      </c>
      <c r="D84" s="30">
        <v>8680</v>
      </c>
      <c r="E84" s="30">
        <v>10</v>
      </c>
      <c r="F84" s="30">
        <v>510</v>
      </c>
      <c r="G84" s="30">
        <v>170</v>
      </c>
      <c r="H84" s="30">
        <f>(80+57)*10</f>
        <v>1370</v>
      </c>
      <c r="I84" s="30">
        <f>(109+30+5)*10</f>
        <v>1440</v>
      </c>
      <c r="J84" s="30">
        <f>(8+5)*10</f>
        <v>130</v>
      </c>
      <c r="K84" s="30">
        <v>420</v>
      </c>
      <c r="L84" s="30">
        <v>2000</v>
      </c>
    </row>
    <row r="85" spans="2:14" ht="14">
      <c r="C85" s="24" t="s">
        <v>13</v>
      </c>
      <c r="D85" s="30">
        <v>9970</v>
      </c>
      <c r="E85" s="30">
        <v>3910</v>
      </c>
      <c r="F85" s="30">
        <v>5960</v>
      </c>
      <c r="G85" s="30">
        <v>3110</v>
      </c>
      <c r="H85" s="30">
        <v>4280</v>
      </c>
      <c r="I85" s="30">
        <v>2700</v>
      </c>
      <c r="J85" s="30">
        <v>2810</v>
      </c>
      <c r="K85" s="30">
        <v>3740</v>
      </c>
      <c r="L85" s="30">
        <v>2000</v>
      </c>
    </row>
    <row r="86" spans="2:14" ht="14">
      <c r="C86" s="23" t="s">
        <v>108</v>
      </c>
      <c r="D86" s="28">
        <f t="shared" ref="D86:L86" si="25">D79+D82+D83+D85+D84</f>
        <v>49800</v>
      </c>
      <c r="E86" s="28">
        <f t="shared" si="25"/>
        <v>38880</v>
      </c>
      <c r="F86" s="28">
        <f t="shared" si="25"/>
        <v>51450</v>
      </c>
      <c r="G86" s="28">
        <f t="shared" si="25"/>
        <v>49980</v>
      </c>
      <c r="H86" s="28">
        <f t="shared" si="25"/>
        <v>57170</v>
      </c>
      <c r="I86" s="28">
        <f t="shared" si="25"/>
        <v>61450</v>
      </c>
      <c r="J86" s="28">
        <f t="shared" si="25"/>
        <v>66150</v>
      </c>
      <c r="K86" s="28">
        <f t="shared" si="25"/>
        <v>60990</v>
      </c>
      <c r="L86" s="28">
        <f t="shared" si="25"/>
        <v>66490</v>
      </c>
    </row>
    <row r="87" spans="2:14">
      <c r="N87" s="2"/>
    </row>
    <row r="90" spans="2:14" ht="14">
      <c r="B90" s="41" t="s">
        <v>89</v>
      </c>
      <c r="C90" s="42"/>
    </row>
    <row r="91" spans="2:14" outlineLevel="1">
      <c r="D91" s="21">
        <v>2005</v>
      </c>
      <c r="E91" s="21">
        <v>2006</v>
      </c>
      <c r="F91" s="21">
        <v>2007</v>
      </c>
      <c r="G91" s="21">
        <v>2008</v>
      </c>
      <c r="H91" s="21">
        <v>2009</v>
      </c>
      <c r="I91" s="21">
        <v>2010</v>
      </c>
      <c r="J91" s="21">
        <v>2011</v>
      </c>
      <c r="K91" s="21">
        <v>2012</v>
      </c>
      <c r="L91" s="21">
        <v>2013</v>
      </c>
    </row>
    <row r="92" spans="2:14" ht="14" outlineLevel="1">
      <c r="C92" s="35" t="s">
        <v>42</v>
      </c>
      <c r="D92" s="46">
        <f t="shared" ref="D92:L92" si="26">(D70)/(D82+D83+D85+D84)</f>
        <v>0.44355179704016912</v>
      </c>
      <c r="E92" s="46">
        <f t="shared" si="26"/>
        <v>1.4372918978912319</v>
      </c>
      <c r="F92" s="46">
        <f t="shared" si="26"/>
        <v>0.21926489226869456</v>
      </c>
      <c r="G92" s="46">
        <f t="shared" si="26"/>
        <v>1.6443609022556391</v>
      </c>
      <c r="H92" s="46">
        <f t="shared" si="26"/>
        <v>1.7947658402203857</v>
      </c>
      <c r="I92" s="46">
        <f t="shared" si="26"/>
        <v>1.1374474053295933</v>
      </c>
      <c r="J92" s="46">
        <f t="shared" si="26"/>
        <v>0.37764084507042256</v>
      </c>
      <c r="K92" s="46">
        <f t="shared" si="26"/>
        <v>0.93597420543528331</v>
      </c>
      <c r="L92" s="46">
        <f t="shared" si="26"/>
        <v>1.1995555555555555</v>
      </c>
      <c r="N92" s="2"/>
    </row>
    <row r="93" spans="2:14" ht="14" outlineLevel="1">
      <c r="C93" s="35" t="s">
        <v>41</v>
      </c>
      <c r="D93" s="46">
        <f t="shared" ref="D93:L93" si="27">(D70+D71+D72)/(D82+D83+D85+D84)</f>
        <v>1.9488372093023256</v>
      </c>
      <c r="E93" s="46">
        <f t="shared" si="27"/>
        <v>3.8490566037735849</v>
      </c>
      <c r="F93" s="46">
        <f t="shared" si="27"/>
        <v>2.9822560202788342</v>
      </c>
      <c r="G93" s="46">
        <f t="shared" si="27"/>
        <v>3.3812030075187969</v>
      </c>
      <c r="H93" s="46">
        <f t="shared" si="27"/>
        <v>3.6597796143250689</v>
      </c>
      <c r="I93" s="46">
        <f t="shared" si="27"/>
        <v>3.4831697054698458</v>
      </c>
      <c r="J93" s="46">
        <f t="shared" si="27"/>
        <v>2.5233274647887325</v>
      </c>
      <c r="K93" s="46">
        <f t="shared" si="27"/>
        <v>2.3215108245048364</v>
      </c>
      <c r="L93" s="46">
        <f t="shared" si="27"/>
        <v>2.621777777777778</v>
      </c>
      <c r="N93" s="2"/>
    </row>
    <row r="94" spans="2:14" ht="14" outlineLevel="1">
      <c r="C94" s="35" t="s">
        <v>40</v>
      </c>
      <c r="D94" s="46">
        <f t="shared" ref="D94:L94" si="28">(D70+D71+D72+D73+D74)/(D82+D83+D85+D84)</f>
        <v>1.9826638477801268</v>
      </c>
      <c r="E94" s="46">
        <f t="shared" si="28"/>
        <v>3.9811320754716979</v>
      </c>
      <c r="F94" s="46">
        <f t="shared" si="28"/>
        <v>3.0697084917617237</v>
      </c>
      <c r="G94" s="46">
        <f t="shared" si="28"/>
        <v>3.5766917293233083</v>
      </c>
      <c r="H94" s="46">
        <f t="shared" si="28"/>
        <v>3.7858126721763083</v>
      </c>
      <c r="I94" s="46">
        <f t="shared" si="28"/>
        <v>4.0539971949509113</v>
      </c>
      <c r="J94" s="46">
        <f t="shared" si="28"/>
        <v>2.820862676056338</v>
      </c>
      <c r="K94" s="46">
        <f t="shared" si="28"/>
        <v>2.72639336711193</v>
      </c>
      <c r="L94" s="46">
        <f t="shared" si="28"/>
        <v>2.8884444444444446</v>
      </c>
      <c r="N94" s="2"/>
    </row>
    <row r="95" spans="2:14" outlineLevel="1"/>
    <row r="97" spans="2:14" ht="14">
      <c r="B97" s="41" t="s">
        <v>90</v>
      </c>
      <c r="C97" s="42"/>
    </row>
    <row r="98" spans="2:14" outlineLevel="1">
      <c r="D98" s="21">
        <v>2005</v>
      </c>
      <c r="E98" s="21">
        <v>2006</v>
      </c>
      <c r="F98" s="21">
        <v>2007</v>
      </c>
      <c r="G98" s="21">
        <v>2008</v>
      </c>
      <c r="H98" s="21">
        <v>2009</v>
      </c>
      <c r="I98" s="21">
        <v>2010</v>
      </c>
      <c r="J98" s="21">
        <v>2011</v>
      </c>
      <c r="K98" s="21">
        <v>2012</v>
      </c>
      <c r="L98" s="21">
        <v>2013</v>
      </c>
    </row>
    <row r="99" spans="2:14" ht="14" outlineLevel="1">
      <c r="C99" s="24" t="s">
        <v>54</v>
      </c>
      <c r="D99" s="30">
        <f t="shared" ref="D99:L99" si="29">D79</f>
        <v>26150</v>
      </c>
      <c r="E99" s="30">
        <f t="shared" si="29"/>
        <v>29870</v>
      </c>
      <c r="F99" s="30">
        <f t="shared" si="29"/>
        <v>35670</v>
      </c>
      <c r="G99" s="30">
        <f t="shared" si="29"/>
        <v>36680</v>
      </c>
      <c r="H99" s="30">
        <f t="shared" si="29"/>
        <v>42650</v>
      </c>
      <c r="I99" s="30">
        <f t="shared" si="29"/>
        <v>47190</v>
      </c>
      <c r="J99" s="30">
        <f t="shared" si="29"/>
        <v>43430</v>
      </c>
      <c r="K99" s="30">
        <f t="shared" si="29"/>
        <v>39280</v>
      </c>
      <c r="L99" s="30">
        <f t="shared" si="29"/>
        <v>43990</v>
      </c>
    </row>
    <row r="100" spans="2:14" ht="14" outlineLevel="1">
      <c r="C100" s="24" t="s">
        <v>55</v>
      </c>
      <c r="D100" s="30">
        <f t="shared" ref="D100:L100" si="30">D82</f>
        <v>0</v>
      </c>
      <c r="E100" s="30">
        <f t="shared" si="30"/>
        <v>90</v>
      </c>
      <c r="F100" s="30">
        <f t="shared" si="30"/>
        <v>10</v>
      </c>
      <c r="G100" s="30">
        <f t="shared" si="30"/>
        <v>90</v>
      </c>
      <c r="H100" s="30">
        <f t="shared" si="30"/>
        <v>100</v>
      </c>
      <c r="I100" s="30">
        <f t="shared" si="30"/>
        <v>540</v>
      </c>
      <c r="J100" s="30">
        <f t="shared" si="30"/>
        <v>10540</v>
      </c>
      <c r="K100" s="30">
        <f t="shared" si="30"/>
        <v>10000</v>
      </c>
      <c r="L100" s="30">
        <f t="shared" si="30"/>
        <v>10000</v>
      </c>
    </row>
    <row r="101" spans="2:14" ht="14" outlineLevel="1">
      <c r="C101" s="24" t="s">
        <v>57</v>
      </c>
      <c r="D101" s="30">
        <f t="shared" ref="D101:L101" si="31">D15+D13</f>
        <v>14580</v>
      </c>
      <c r="E101" s="30">
        <f t="shared" si="31"/>
        <v>12140</v>
      </c>
      <c r="F101" s="30">
        <f t="shared" si="31"/>
        <v>13320</v>
      </c>
      <c r="G101" s="30">
        <f t="shared" si="31"/>
        <v>6770</v>
      </c>
      <c r="H101" s="30">
        <f t="shared" si="31"/>
        <v>100</v>
      </c>
      <c r="I101" s="30">
        <f t="shared" si="31"/>
        <v>270</v>
      </c>
      <c r="J101" s="30">
        <f t="shared" si="31"/>
        <v>2120</v>
      </c>
      <c r="K101" s="30">
        <f t="shared" si="31"/>
        <v>-490</v>
      </c>
      <c r="L101" s="30">
        <f t="shared" si="31"/>
        <v>13130</v>
      </c>
    </row>
    <row r="102" spans="2:14" outlineLevel="1"/>
    <row r="103" spans="2:14" ht="14" outlineLevel="1">
      <c r="C103" s="35" t="s">
        <v>52</v>
      </c>
      <c r="D103" s="45">
        <f t="shared" ref="D103:L103" si="32">D100/D99</f>
        <v>0</v>
      </c>
      <c r="E103" s="45">
        <f t="shared" si="32"/>
        <v>3.0130565785068631E-3</v>
      </c>
      <c r="F103" s="45">
        <f t="shared" si="32"/>
        <v>2.8034763106251753E-4</v>
      </c>
      <c r="G103" s="45">
        <f t="shared" si="32"/>
        <v>2.4536532170119957E-3</v>
      </c>
      <c r="H103" s="45">
        <f t="shared" si="32"/>
        <v>2.3446658851113715E-3</v>
      </c>
      <c r="I103" s="45">
        <f t="shared" si="32"/>
        <v>1.1443102352193261E-2</v>
      </c>
      <c r="J103" s="45">
        <f t="shared" si="32"/>
        <v>0.24268938521759154</v>
      </c>
      <c r="K103" s="45">
        <f t="shared" si="32"/>
        <v>0.25458248472505091</v>
      </c>
      <c r="L103" s="45">
        <f t="shared" si="32"/>
        <v>0.22732439190725165</v>
      </c>
      <c r="N103" s="2"/>
    </row>
    <row r="104" spans="2:14" ht="14" outlineLevel="1">
      <c r="C104" s="35" t="s">
        <v>53</v>
      </c>
      <c r="D104" s="39">
        <f t="shared" ref="D104:L104" si="33">D100/(D100+D99)</f>
        <v>0</v>
      </c>
      <c r="E104" s="39">
        <f t="shared" si="33"/>
        <v>3.0040053404539386E-3</v>
      </c>
      <c r="F104" s="39">
        <f t="shared" si="33"/>
        <v>2.8026905829596412E-4</v>
      </c>
      <c r="G104" s="39">
        <f t="shared" si="33"/>
        <v>2.4476475387544194E-3</v>
      </c>
      <c r="H104" s="39">
        <f t="shared" si="33"/>
        <v>2.3391812865497076E-3</v>
      </c>
      <c r="I104" s="39">
        <f t="shared" si="33"/>
        <v>1.1313639220615965E-2</v>
      </c>
      <c r="J104" s="39">
        <f t="shared" si="33"/>
        <v>0.19529368167500463</v>
      </c>
      <c r="K104" s="39">
        <f t="shared" si="33"/>
        <v>0.20292207792207792</v>
      </c>
      <c r="L104" s="39">
        <f t="shared" si="33"/>
        <v>0.18521948508983144</v>
      </c>
      <c r="N104" s="2"/>
    </row>
    <row r="105" spans="2:14" outlineLevel="1">
      <c r="N105" s="2"/>
    </row>
    <row r="106" spans="2:14" ht="14" outlineLevel="1">
      <c r="C106" s="35" t="s">
        <v>56</v>
      </c>
      <c r="D106" s="46">
        <f>D100/(D15+D13)</f>
        <v>0</v>
      </c>
      <c r="E106" s="46">
        <f>E100/(E15+E13)</f>
        <v>7.4135090609555188E-3</v>
      </c>
      <c r="F106" s="46">
        <f>F100/(F15+F13)</f>
        <v>7.5075075075075074E-4</v>
      </c>
      <c r="G106" s="46">
        <f>G100/(G15+G13)</f>
        <v>1.3293943870014771E-2</v>
      </c>
      <c r="H106" s="46">
        <f>H100/(H15+H13)</f>
        <v>1</v>
      </c>
      <c r="I106" s="46">
        <f>I100/(I15+I13)</f>
        <v>2</v>
      </c>
      <c r="J106" s="46">
        <f>J100/(J15+J13)</f>
        <v>4.9716981132075473</v>
      </c>
      <c r="K106" s="46">
        <f>K100/(K15+K13)</f>
        <v>-20.408163265306122</v>
      </c>
      <c r="L106" s="46">
        <f>L100/(L15+L13)</f>
        <v>0.76161462300076166</v>
      </c>
      <c r="N106" s="2"/>
    </row>
    <row r="107" spans="2:14" outlineLevel="1"/>
    <row r="110" spans="2:14" ht="14">
      <c r="B110" s="41" t="s">
        <v>70</v>
      </c>
      <c r="C110" s="42"/>
    </row>
    <row r="111" spans="2:14" outlineLevel="1">
      <c r="D111" s="21">
        <v>2005</v>
      </c>
      <c r="E111" s="21">
        <v>2006</v>
      </c>
      <c r="F111" s="21">
        <v>2007</v>
      </c>
      <c r="G111" s="21">
        <v>2008</v>
      </c>
      <c r="H111" s="21">
        <v>2009</v>
      </c>
      <c r="I111" s="21">
        <v>2010</v>
      </c>
      <c r="J111" s="21">
        <v>2011</v>
      </c>
      <c r="K111" s="21">
        <v>2012</v>
      </c>
      <c r="L111" s="21">
        <v>2013</v>
      </c>
      <c r="M111" s="32" t="s">
        <v>16</v>
      </c>
    </row>
    <row r="112" spans="2:14" ht="14" outlineLevel="1">
      <c r="C112" s="24" t="s">
        <v>67</v>
      </c>
      <c r="D112" s="30">
        <f t="shared" ref="D112:L112" si="34">D71+D72+D73</f>
        <v>35960</v>
      </c>
      <c r="E112" s="30">
        <f t="shared" si="34"/>
        <v>22240</v>
      </c>
      <c r="F112" s="30">
        <f t="shared" si="34"/>
        <v>43970</v>
      </c>
      <c r="G112" s="30">
        <f t="shared" si="34"/>
        <v>23250</v>
      </c>
      <c r="H112" s="30">
        <f t="shared" si="34"/>
        <v>27290</v>
      </c>
      <c r="I112" s="30">
        <f t="shared" si="34"/>
        <v>35760</v>
      </c>
      <c r="J112" s="30">
        <f t="shared" si="34"/>
        <v>49020</v>
      </c>
      <c r="K112" s="30">
        <f t="shared" si="34"/>
        <v>30410</v>
      </c>
      <c r="L112" s="30">
        <f t="shared" si="34"/>
        <v>32000</v>
      </c>
    </row>
    <row r="113" spans="2:14" ht="14" outlineLevel="1">
      <c r="C113" s="24" t="s">
        <v>66</v>
      </c>
      <c r="D113" s="30">
        <f t="shared" ref="D113:L113" si="35">D74</f>
        <v>440</v>
      </c>
      <c r="E113" s="30">
        <f t="shared" si="35"/>
        <v>680</v>
      </c>
      <c r="F113" s="30">
        <f t="shared" si="35"/>
        <v>1010</v>
      </c>
      <c r="G113" s="30">
        <f t="shared" si="35"/>
        <v>2450</v>
      </c>
      <c r="H113" s="30">
        <f t="shared" si="35"/>
        <v>1620</v>
      </c>
      <c r="I113" s="30">
        <f t="shared" si="35"/>
        <v>5830</v>
      </c>
      <c r="J113" s="30">
        <f t="shared" si="35"/>
        <v>6490</v>
      </c>
      <c r="K113" s="30">
        <f t="shared" si="35"/>
        <v>8460</v>
      </c>
      <c r="L113" s="30">
        <f t="shared" si="35"/>
        <v>6000</v>
      </c>
    </row>
    <row r="114" spans="2:14" ht="14" outlineLevel="1">
      <c r="C114" s="24" t="s">
        <v>69</v>
      </c>
      <c r="D114" s="30">
        <f t="shared" ref="D114:L114" si="36">D83+D84</f>
        <v>13680</v>
      </c>
      <c r="E114" s="30">
        <f t="shared" si="36"/>
        <v>5010</v>
      </c>
      <c r="F114" s="30">
        <f t="shared" si="36"/>
        <v>9810</v>
      </c>
      <c r="G114" s="30">
        <f t="shared" si="36"/>
        <v>10100</v>
      </c>
      <c r="H114" s="30">
        <f t="shared" si="36"/>
        <v>10140</v>
      </c>
      <c r="I114" s="30">
        <f t="shared" si="36"/>
        <v>11020</v>
      </c>
      <c r="J114" s="30">
        <f t="shared" si="36"/>
        <v>9370</v>
      </c>
      <c r="K114" s="30">
        <f t="shared" si="36"/>
        <v>7970</v>
      </c>
      <c r="L114" s="30">
        <f t="shared" si="36"/>
        <v>10500</v>
      </c>
    </row>
    <row r="115" spans="2:14" outlineLevel="1">
      <c r="M115" s="13"/>
    </row>
    <row r="116" spans="2:14" ht="14" outlineLevel="1">
      <c r="C116" s="33" t="s">
        <v>68</v>
      </c>
      <c r="D116" s="34">
        <f t="shared" ref="D116:L116" si="37">D112+D113-D114</f>
        <v>22720</v>
      </c>
      <c r="E116" s="34">
        <f t="shared" si="37"/>
        <v>17910</v>
      </c>
      <c r="F116" s="34">
        <f t="shared" si="37"/>
        <v>35170</v>
      </c>
      <c r="G116" s="34">
        <f t="shared" si="37"/>
        <v>15600</v>
      </c>
      <c r="H116" s="34">
        <f t="shared" si="37"/>
        <v>18770</v>
      </c>
      <c r="I116" s="34">
        <f t="shared" si="37"/>
        <v>30570</v>
      </c>
      <c r="J116" s="34">
        <f t="shared" si="37"/>
        <v>46140</v>
      </c>
      <c r="K116" s="34">
        <f t="shared" si="37"/>
        <v>30900</v>
      </c>
      <c r="L116" s="34">
        <f t="shared" si="37"/>
        <v>27500</v>
      </c>
    </row>
    <row r="117" spans="2:14" ht="14" outlineLevel="1">
      <c r="C117" s="35" t="s">
        <v>0</v>
      </c>
      <c r="D117" s="39">
        <f>D116/D6</f>
        <v>0.47353063776573573</v>
      </c>
      <c r="E117" s="39">
        <f>E116/E6</f>
        <v>0.38516129032258062</v>
      </c>
      <c r="F117" s="39">
        <f>F116/F6</f>
        <v>0.62882174146254244</v>
      </c>
      <c r="G117" s="39">
        <f>G116/G6</f>
        <v>0.2983362019506598</v>
      </c>
      <c r="H117" s="39">
        <f>H116/H6</f>
        <v>0.36652997461433312</v>
      </c>
      <c r="I117" s="39">
        <f>I116/I6</f>
        <v>0.54443455031166521</v>
      </c>
      <c r="J117" s="39">
        <f>J116/J6</f>
        <v>0.58747135217723456</v>
      </c>
      <c r="K117" s="39">
        <f>K116/K6</f>
        <v>0.52064026958719456</v>
      </c>
      <c r="L117" s="39">
        <f>L116/L6</f>
        <v>0.38194444444444442</v>
      </c>
      <c r="M117" s="47">
        <f>AVERAGE(D117:L117)</f>
        <v>0.46520782918182113</v>
      </c>
    </row>
    <row r="118" spans="2:14" outlineLevel="1">
      <c r="M118" s="13"/>
    </row>
    <row r="119" spans="2:14" ht="14" outlineLevel="1">
      <c r="C119" s="35" t="s">
        <v>6</v>
      </c>
      <c r="D119" s="51">
        <f>D71/D6*365</f>
        <v>268.99541475614842</v>
      </c>
      <c r="E119" s="51">
        <f>E71/E6*365</f>
        <v>140.03440860215053</v>
      </c>
      <c r="F119" s="51">
        <f>F71/F6*365</f>
        <v>276.96406222063291</v>
      </c>
      <c r="G119" s="51">
        <f>G71/G6*365</f>
        <v>139.53624019889079</v>
      </c>
      <c r="H119" s="51">
        <f>H71/H6*365</f>
        <v>173.69752001562193</v>
      </c>
      <c r="I119" s="51">
        <f>I71/I6*365</f>
        <v>202.68388245770257</v>
      </c>
      <c r="J119" s="51">
        <f>J71/J6*365</f>
        <v>219.44614209320093</v>
      </c>
      <c r="K119" s="51">
        <f>K71/K6*365</f>
        <v>163.46588037068238</v>
      </c>
      <c r="L119" s="51">
        <f>L71/L6*365</f>
        <v>136.875</v>
      </c>
      <c r="M119" s="50">
        <f>AVERAGE(D119:L119)</f>
        <v>191.29983896833676</v>
      </c>
      <c r="N119" s="2"/>
    </row>
    <row r="120" spans="2:14" ht="14" outlineLevel="1">
      <c r="C120" s="35" t="s">
        <v>7</v>
      </c>
      <c r="D120" s="51">
        <f>D74/D9*365</f>
        <v>11.913946587537094</v>
      </c>
      <c r="E120" s="51">
        <f>E74/E9*365</f>
        <v>15.971685971685972</v>
      </c>
      <c r="F120" s="51">
        <f>F74/F9*365</f>
        <v>16.190162494510322</v>
      </c>
      <c r="G120" s="51">
        <f>G74/G9*365</f>
        <v>37.589323245060953</v>
      </c>
      <c r="H120" s="51">
        <f>H74/H9*365</f>
        <v>22.577319587628867</v>
      </c>
      <c r="I120" s="51">
        <f>I74/I9*365</f>
        <v>88.186904268545376</v>
      </c>
      <c r="J120" s="51">
        <f>J74/J9*365</f>
        <v>57.384932170542633</v>
      </c>
      <c r="K120" s="51">
        <f>K74/K9*365</f>
        <v>109.61661341853036</v>
      </c>
      <c r="L120" s="51">
        <f>L74/L9*365</f>
        <v>81.1111111111111</v>
      </c>
      <c r="M120" s="50">
        <f>AVERAGE(D120:L120)</f>
        <v>48.949110983905854</v>
      </c>
      <c r="N120" s="2"/>
    </row>
    <row r="121" spans="2:14" outlineLevel="1">
      <c r="N121" s="2"/>
    </row>
    <row r="122" spans="2:14" ht="14" outlineLevel="1">
      <c r="C122" s="35" t="s">
        <v>100</v>
      </c>
      <c r="D122" s="51">
        <f>D83/D6*365</f>
        <v>38.036681950812834</v>
      </c>
      <c r="E122" s="51">
        <f>E83/E6*365</f>
        <v>39.247311827956992</v>
      </c>
      <c r="F122" s="51">
        <f>F83/F6*365</f>
        <v>60.69193634900769</v>
      </c>
      <c r="G122" s="51">
        <f>G83/G6*365</f>
        <v>69.314400458978767</v>
      </c>
      <c r="H122" s="51">
        <f>H83/H6*365</f>
        <v>62.508299160320249</v>
      </c>
      <c r="I122" s="51">
        <f>I83/I6*365</f>
        <v>62.274265360641145</v>
      </c>
      <c r="J122" s="51">
        <f>J83/J6*365</f>
        <v>42.941176470588232</v>
      </c>
      <c r="K122" s="51">
        <f>K83/K6*365</f>
        <v>46.432181971356357</v>
      </c>
      <c r="L122" s="51">
        <f>L83/L6*365</f>
        <v>43.090277777777779</v>
      </c>
      <c r="M122" s="50">
        <f>AVERAGE(D122:L122)</f>
        <v>51.615170147493338</v>
      </c>
      <c r="N122" s="40" t="s">
        <v>10</v>
      </c>
    </row>
    <row r="123" spans="2:14" ht="14" outlineLevel="1">
      <c r="C123" s="35" t="s">
        <v>99</v>
      </c>
      <c r="D123" s="48">
        <f>(D83+D84+D85)/(D8-D13+D140)*365</f>
        <v>258.45059880239523</v>
      </c>
      <c r="E123" s="48">
        <f>(E83+E84+E85)/(E8-E13+E140)*365</f>
        <v>94.071077723201384</v>
      </c>
      <c r="F123" s="48">
        <f>(F83+F84+F85)/(F8-F13+F140)*365</f>
        <v>134.61295603367634</v>
      </c>
      <c r="G123" s="48">
        <f>(G83+G84+G85)/(G8-G13+G140)*365</f>
        <v>107.05261989342807</v>
      </c>
      <c r="H123" s="48">
        <f>(H83+H84+H85)/(H8-H13+H140)*365</f>
        <v>103.1210815047022</v>
      </c>
      <c r="I123" s="48">
        <f>(I83+I84+I85)/(I8-I13+I140)*365</f>
        <v>86.956068761937843</v>
      </c>
      <c r="J123" s="48">
        <f>(J83+J84+J85)/(J8-J13+J140)*365</f>
        <v>59.14981373070782</v>
      </c>
      <c r="K123" s="48">
        <f>(K83+K84+K85)/(K8-K13+K140)*365</f>
        <v>71.247707951325225</v>
      </c>
      <c r="L123" s="48">
        <f>(L83+L84+L85)/(L8-L13+L140)*365</f>
        <v>77.343617562298689</v>
      </c>
      <c r="M123" s="49">
        <f>AVERAGE(D123:L123)</f>
        <v>110.22283799596363</v>
      </c>
      <c r="N123" s="40" t="s">
        <v>11</v>
      </c>
    </row>
    <row r="125" spans="2:14">
      <c r="C125" s="6"/>
      <c r="D125" s="7"/>
      <c r="E125" s="7"/>
      <c r="F125" s="7"/>
      <c r="G125" s="7"/>
      <c r="H125" s="7"/>
      <c r="I125" s="11"/>
      <c r="J125" s="7"/>
      <c r="K125" s="7"/>
      <c r="L125" s="7"/>
    </row>
    <row r="127" spans="2:14" ht="17">
      <c r="B127" s="20" t="s">
        <v>73</v>
      </c>
      <c r="D127" s="21">
        <v>2005</v>
      </c>
      <c r="E127" s="21">
        <v>2006</v>
      </c>
      <c r="F127" s="21">
        <v>2007</v>
      </c>
      <c r="G127" s="21">
        <v>2008</v>
      </c>
      <c r="H127" s="21">
        <v>2009</v>
      </c>
      <c r="I127" s="21">
        <v>2010</v>
      </c>
      <c r="J127" s="21">
        <v>2011</v>
      </c>
      <c r="K127" s="21">
        <v>2012</v>
      </c>
      <c r="L127" s="21">
        <v>2013</v>
      </c>
    </row>
    <row r="128" spans="2:14" ht="14">
      <c r="C128" s="24" t="s">
        <v>26</v>
      </c>
      <c r="D128" s="30">
        <f t="shared" ref="D128:L128" si="38">D17+D13</f>
        <v>13990</v>
      </c>
      <c r="E128" s="30">
        <f t="shared" si="38"/>
        <v>11040</v>
      </c>
      <c r="F128" s="30">
        <f t="shared" si="38"/>
        <v>10860</v>
      </c>
      <c r="G128" s="30">
        <f t="shared" si="38"/>
        <v>3820</v>
      </c>
      <c r="H128" s="30">
        <f t="shared" si="38"/>
        <v>8090</v>
      </c>
      <c r="I128" s="30">
        <f t="shared" si="38"/>
        <v>-5310</v>
      </c>
      <c r="J128" s="30">
        <f t="shared" si="38"/>
        <v>-3190</v>
      </c>
      <c r="K128" s="30">
        <f t="shared" si="38"/>
        <v>-3240</v>
      </c>
      <c r="L128" s="30">
        <f t="shared" si="38"/>
        <v>10630</v>
      </c>
    </row>
    <row r="129" spans="3:14" ht="14">
      <c r="C129" s="33" t="s">
        <v>91</v>
      </c>
      <c r="D129" s="34">
        <f t="shared" ref="D129:L129" si="39">D74+(D71+D72+D73)-(D83+D84)</f>
        <v>22720</v>
      </c>
      <c r="E129" s="34">
        <f t="shared" si="39"/>
        <v>17910</v>
      </c>
      <c r="F129" s="34">
        <f t="shared" si="39"/>
        <v>35170</v>
      </c>
      <c r="G129" s="34">
        <f t="shared" si="39"/>
        <v>15600</v>
      </c>
      <c r="H129" s="34">
        <f t="shared" si="39"/>
        <v>18770</v>
      </c>
      <c r="I129" s="34">
        <f t="shared" si="39"/>
        <v>30570</v>
      </c>
      <c r="J129" s="34">
        <f t="shared" si="39"/>
        <v>46140</v>
      </c>
      <c r="K129" s="34">
        <f t="shared" si="39"/>
        <v>30900</v>
      </c>
      <c r="L129" s="34">
        <f t="shared" si="39"/>
        <v>27500</v>
      </c>
    </row>
    <row r="130" spans="3:14" ht="14" outlineLevel="1">
      <c r="C130" s="27" t="s">
        <v>105</v>
      </c>
      <c r="D130" s="29">
        <f t="shared" ref="D130" si="40">D71+D72</f>
        <v>35600</v>
      </c>
      <c r="E130" s="29">
        <f t="shared" ref="E130:K130" si="41">E71+E72</f>
        <v>21730</v>
      </c>
      <c r="F130" s="29">
        <f t="shared" si="41"/>
        <v>43600</v>
      </c>
      <c r="G130" s="29">
        <f t="shared" si="41"/>
        <v>23100</v>
      </c>
      <c r="H130" s="29">
        <f t="shared" si="41"/>
        <v>27080</v>
      </c>
      <c r="I130" s="29">
        <f t="shared" si="41"/>
        <v>33450</v>
      </c>
      <c r="J130" s="29">
        <f t="shared" si="41"/>
        <v>48750</v>
      </c>
      <c r="K130" s="29">
        <f t="shared" si="41"/>
        <v>30080</v>
      </c>
      <c r="L130" s="29">
        <f t="shared" ref="L130" si="42">L71+L72</f>
        <v>32000</v>
      </c>
    </row>
    <row r="131" spans="3:14" ht="14" outlineLevel="1">
      <c r="C131" s="27" t="s">
        <v>14</v>
      </c>
      <c r="D131" s="29">
        <f t="shared" ref="D131" si="43">D74+D73-D83</f>
        <v>-4200</v>
      </c>
      <c r="E131" s="29">
        <f t="shared" ref="E131:K131" si="44">E74+E73-E83</f>
        <v>-3810</v>
      </c>
      <c r="F131" s="29">
        <f t="shared" si="44"/>
        <v>-7920</v>
      </c>
      <c r="G131" s="29">
        <f t="shared" si="44"/>
        <v>-7330</v>
      </c>
      <c r="H131" s="29">
        <f t="shared" si="44"/>
        <v>-6940</v>
      </c>
      <c r="I131" s="29">
        <f t="shared" si="44"/>
        <v>-1440</v>
      </c>
      <c r="J131" s="29">
        <f t="shared" si="44"/>
        <v>-2480</v>
      </c>
      <c r="K131" s="29">
        <f t="shared" si="44"/>
        <v>1240</v>
      </c>
      <c r="L131" s="29">
        <f t="shared" ref="L131" si="45">L74+L73-L83</f>
        <v>-2500</v>
      </c>
    </row>
    <row r="132" spans="3:14" ht="14" outlineLevel="1">
      <c r="C132" s="27" t="s">
        <v>92</v>
      </c>
      <c r="D132" s="29">
        <f t="shared" ref="D132" si="46">-D84</f>
        <v>-8680</v>
      </c>
      <c r="E132" s="29">
        <f t="shared" ref="E132:K132" si="47">-E84</f>
        <v>-10</v>
      </c>
      <c r="F132" s="29">
        <f t="shared" si="47"/>
        <v>-510</v>
      </c>
      <c r="G132" s="29">
        <f t="shared" si="47"/>
        <v>-170</v>
      </c>
      <c r="H132" s="29">
        <f t="shared" si="47"/>
        <v>-1370</v>
      </c>
      <c r="I132" s="29">
        <f t="shared" si="47"/>
        <v>-1440</v>
      </c>
      <c r="J132" s="29">
        <f t="shared" si="47"/>
        <v>-130</v>
      </c>
      <c r="K132" s="29">
        <f t="shared" si="47"/>
        <v>-420</v>
      </c>
      <c r="L132" s="29">
        <f t="shared" ref="L132" si="48">-L84</f>
        <v>-2000</v>
      </c>
    </row>
    <row r="133" spans="3:14" ht="14">
      <c r="C133" s="33" t="s">
        <v>75</v>
      </c>
      <c r="D133" s="34"/>
      <c r="E133" s="34">
        <f t="shared" ref="E133:L133" si="49">E129-D129</f>
        <v>-4810</v>
      </c>
      <c r="F133" s="34">
        <f t="shared" si="49"/>
        <v>17260</v>
      </c>
      <c r="G133" s="34">
        <f t="shared" si="49"/>
        <v>-19570</v>
      </c>
      <c r="H133" s="34">
        <f t="shared" si="49"/>
        <v>3170</v>
      </c>
      <c r="I133" s="34">
        <f t="shared" si="49"/>
        <v>11800</v>
      </c>
      <c r="J133" s="34">
        <f t="shared" si="49"/>
        <v>15570</v>
      </c>
      <c r="K133" s="34">
        <f t="shared" si="49"/>
        <v>-15240</v>
      </c>
      <c r="L133" s="34">
        <f t="shared" si="49"/>
        <v>-3400</v>
      </c>
    </row>
    <row r="134" spans="3:14" ht="14" outlineLevel="1">
      <c r="C134" s="27" t="s">
        <v>105</v>
      </c>
      <c r="D134" s="29"/>
      <c r="E134" s="29">
        <f t="shared" ref="E134:L136" si="50">E130-D130</f>
        <v>-13870</v>
      </c>
      <c r="F134" s="29">
        <f t="shared" si="50"/>
        <v>21870</v>
      </c>
      <c r="G134" s="29">
        <f t="shared" si="50"/>
        <v>-20500</v>
      </c>
      <c r="H134" s="29">
        <f t="shared" si="50"/>
        <v>3980</v>
      </c>
      <c r="I134" s="29">
        <f t="shared" si="50"/>
        <v>6370</v>
      </c>
      <c r="J134" s="29">
        <f t="shared" si="50"/>
        <v>15300</v>
      </c>
      <c r="K134" s="29">
        <f t="shared" si="50"/>
        <v>-18670</v>
      </c>
      <c r="L134" s="29">
        <f t="shared" si="50"/>
        <v>1920</v>
      </c>
    </row>
    <row r="135" spans="3:14" ht="14" outlineLevel="1">
      <c r="C135" s="27" t="s">
        <v>106</v>
      </c>
      <c r="D135" s="29"/>
      <c r="E135" s="29">
        <f t="shared" si="50"/>
        <v>390</v>
      </c>
      <c r="F135" s="29">
        <f t="shared" si="50"/>
        <v>-4110</v>
      </c>
      <c r="G135" s="29">
        <f t="shared" si="50"/>
        <v>590</v>
      </c>
      <c r="H135" s="29">
        <f t="shared" si="50"/>
        <v>390</v>
      </c>
      <c r="I135" s="29">
        <f t="shared" si="50"/>
        <v>5500</v>
      </c>
      <c r="J135" s="29">
        <f t="shared" si="50"/>
        <v>-1040</v>
      </c>
      <c r="K135" s="29">
        <f t="shared" si="50"/>
        <v>3720</v>
      </c>
      <c r="L135" s="29">
        <f t="shared" si="50"/>
        <v>-3740</v>
      </c>
    </row>
    <row r="136" spans="3:14" ht="14" outlineLevel="1">
      <c r="C136" s="27" t="s">
        <v>92</v>
      </c>
      <c r="D136" s="29"/>
      <c r="E136" s="29">
        <f t="shared" si="50"/>
        <v>8670</v>
      </c>
      <c r="F136" s="29">
        <f t="shared" si="50"/>
        <v>-500</v>
      </c>
      <c r="G136" s="29">
        <f t="shared" si="50"/>
        <v>340</v>
      </c>
      <c r="H136" s="29">
        <f t="shared" si="50"/>
        <v>-1200</v>
      </c>
      <c r="I136" s="29">
        <f t="shared" si="50"/>
        <v>-70</v>
      </c>
      <c r="J136" s="29">
        <f t="shared" si="50"/>
        <v>1310</v>
      </c>
      <c r="K136" s="29">
        <f t="shared" si="50"/>
        <v>-290</v>
      </c>
      <c r="L136" s="29">
        <f t="shared" si="50"/>
        <v>-1580</v>
      </c>
    </row>
    <row r="137" spans="3:14" ht="14">
      <c r="C137" s="24" t="s">
        <v>24</v>
      </c>
      <c r="D137" s="30"/>
      <c r="E137" s="30">
        <f t="shared" ref="E137:L137" si="51">E18</f>
        <v>-560</v>
      </c>
      <c r="F137" s="30">
        <f t="shared" si="51"/>
        <v>-400</v>
      </c>
      <c r="G137" s="30">
        <f t="shared" si="51"/>
        <v>90</v>
      </c>
      <c r="H137" s="30">
        <f t="shared" si="51"/>
        <v>-660</v>
      </c>
      <c r="I137" s="30">
        <f t="shared" si="51"/>
        <v>-120</v>
      </c>
      <c r="J137" s="30">
        <f t="shared" si="51"/>
        <v>250</v>
      </c>
      <c r="K137" s="30">
        <f t="shared" si="51"/>
        <v>500</v>
      </c>
      <c r="L137" s="30">
        <f t="shared" si="51"/>
        <v>500</v>
      </c>
    </row>
    <row r="138" spans="3:14" ht="14">
      <c r="C138" s="24" t="s">
        <v>114</v>
      </c>
      <c r="D138" s="30"/>
      <c r="E138" s="30">
        <f>D85+E20-E85</f>
        <v>9790</v>
      </c>
      <c r="F138" s="30">
        <f>E85+F20-F85</f>
        <v>1260</v>
      </c>
      <c r="G138" s="30">
        <f>F85+G20-G85</f>
        <v>4450</v>
      </c>
      <c r="H138" s="30">
        <f>G85+H20-H85</f>
        <v>1470</v>
      </c>
      <c r="I138" s="30">
        <f>H85+I20-I85</f>
        <v>1580</v>
      </c>
      <c r="J138" s="30">
        <f>I85+J20-J85</f>
        <v>-110</v>
      </c>
      <c r="K138" s="30">
        <f>J85+K20-K85</f>
        <v>-930</v>
      </c>
      <c r="L138" s="30">
        <f>K85+L20-L85</f>
        <v>1740</v>
      </c>
    </row>
    <row r="139" spans="3:14" ht="14">
      <c r="C139" s="23" t="s">
        <v>76</v>
      </c>
      <c r="D139" s="28"/>
      <c r="E139" s="28">
        <f t="shared" ref="E139:L139" si="52">E128-E133-E138-E137</f>
        <v>6620</v>
      </c>
      <c r="F139" s="28">
        <f t="shared" si="52"/>
        <v>-7260</v>
      </c>
      <c r="G139" s="28">
        <f t="shared" si="52"/>
        <v>18850</v>
      </c>
      <c r="H139" s="28">
        <f t="shared" si="52"/>
        <v>4110</v>
      </c>
      <c r="I139" s="28">
        <f t="shared" si="52"/>
        <v>-18570</v>
      </c>
      <c r="J139" s="28">
        <f t="shared" si="52"/>
        <v>-18900</v>
      </c>
      <c r="K139" s="28">
        <f t="shared" si="52"/>
        <v>12430</v>
      </c>
      <c r="L139" s="28">
        <f t="shared" si="52"/>
        <v>11790</v>
      </c>
    </row>
    <row r="140" spans="3:14" ht="14">
      <c r="C140" s="24" t="s">
        <v>77</v>
      </c>
      <c r="D140" s="30"/>
      <c r="E140" s="30">
        <f>+E75-(D75-E13)</f>
        <v>250</v>
      </c>
      <c r="F140" s="30">
        <f>+F75-(E75-F13)</f>
        <v>150</v>
      </c>
      <c r="G140" s="30">
        <f>+G75-(F75-G13)</f>
        <v>-480</v>
      </c>
      <c r="H140" s="30">
        <f>+H75-(G75-H13)</f>
        <v>-70</v>
      </c>
      <c r="I140" s="30">
        <f>+I75-(H75-I13)</f>
        <v>1710</v>
      </c>
      <c r="J140" s="30">
        <f>+J75-(I75-J13)</f>
        <v>-1260</v>
      </c>
      <c r="K140" s="30">
        <f>+K75-(J75-K13)</f>
        <v>150</v>
      </c>
      <c r="L140" s="30">
        <f>+L75-(K75-L13)</f>
        <v>120</v>
      </c>
    </row>
    <row r="141" spans="3:14" ht="14">
      <c r="C141" s="23" t="s">
        <v>48</v>
      </c>
      <c r="D141" s="28"/>
      <c r="E141" s="28">
        <f t="shared" ref="E141:L141" si="53">E139-E140</f>
        <v>6370</v>
      </c>
      <c r="F141" s="28">
        <f t="shared" si="53"/>
        <v>-7410</v>
      </c>
      <c r="G141" s="28">
        <f t="shared" si="53"/>
        <v>19330</v>
      </c>
      <c r="H141" s="28">
        <f t="shared" si="53"/>
        <v>4180</v>
      </c>
      <c r="I141" s="28">
        <f t="shared" si="53"/>
        <v>-20280</v>
      </c>
      <c r="J141" s="28">
        <f t="shared" si="53"/>
        <v>-17640</v>
      </c>
      <c r="K141" s="28">
        <f t="shared" si="53"/>
        <v>12280</v>
      </c>
      <c r="L141" s="28">
        <f t="shared" si="53"/>
        <v>11670</v>
      </c>
      <c r="N141" s="2"/>
    </row>
    <row r="142" spans="3:14" ht="14">
      <c r="C142" s="24" t="s">
        <v>47</v>
      </c>
      <c r="D142" s="30"/>
      <c r="E142" s="30">
        <f t="shared" ref="E142:L142" si="54">E82-D82</f>
        <v>90</v>
      </c>
      <c r="F142" s="30">
        <f t="shared" si="54"/>
        <v>-80</v>
      </c>
      <c r="G142" s="30">
        <f t="shared" si="54"/>
        <v>80</v>
      </c>
      <c r="H142" s="30">
        <f t="shared" si="54"/>
        <v>10</v>
      </c>
      <c r="I142" s="30">
        <f t="shared" si="54"/>
        <v>440</v>
      </c>
      <c r="J142" s="30">
        <f t="shared" si="54"/>
        <v>10000</v>
      </c>
      <c r="K142" s="30">
        <f t="shared" si="54"/>
        <v>-540</v>
      </c>
      <c r="L142" s="30">
        <f t="shared" si="54"/>
        <v>0</v>
      </c>
    </row>
    <row r="143" spans="3:14" ht="14">
      <c r="C143" s="24" t="s">
        <v>74</v>
      </c>
      <c r="D143" s="30"/>
      <c r="E143" s="30">
        <f t="shared" ref="E143:L143" si="55">E141+E142</f>
        <v>6460</v>
      </c>
      <c r="F143" s="30">
        <f t="shared" si="55"/>
        <v>-7490</v>
      </c>
      <c r="G143" s="30">
        <f t="shared" si="55"/>
        <v>19410</v>
      </c>
      <c r="H143" s="30">
        <f t="shared" si="55"/>
        <v>4190</v>
      </c>
      <c r="I143" s="30">
        <f t="shared" si="55"/>
        <v>-19840</v>
      </c>
      <c r="J143" s="30">
        <f t="shared" si="55"/>
        <v>-7640</v>
      </c>
      <c r="K143" s="30">
        <f t="shared" si="55"/>
        <v>11740</v>
      </c>
      <c r="L143" s="30">
        <f t="shared" si="55"/>
        <v>11670</v>
      </c>
    </row>
    <row r="144" spans="3:14" ht="14">
      <c r="C144" s="33" t="s">
        <v>79</v>
      </c>
      <c r="E144" s="1"/>
      <c r="F144" s="1"/>
      <c r="G144" s="1"/>
      <c r="H144" s="1"/>
      <c r="I144" s="1"/>
      <c r="J144" s="1"/>
      <c r="K144" s="1"/>
      <c r="L144" s="1"/>
    </row>
    <row r="145" spans="2:15" ht="14">
      <c r="C145" s="27" t="s">
        <v>78</v>
      </c>
      <c r="D145" s="29"/>
      <c r="E145" s="29">
        <v>0</v>
      </c>
      <c r="F145" s="29">
        <v>0</v>
      </c>
      <c r="G145" s="29">
        <v>0</v>
      </c>
      <c r="H145" s="29">
        <v>0</v>
      </c>
      <c r="I145" s="29">
        <f>I80-H80</f>
        <v>10000</v>
      </c>
      <c r="J145" s="29">
        <f>J80-I80</f>
        <v>0</v>
      </c>
      <c r="K145" s="29">
        <f>K80-J80</f>
        <v>0</v>
      </c>
      <c r="L145" s="29">
        <f>L80-K80</f>
        <v>0</v>
      </c>
      <c r="N145" s="7"/>
      <c r="O145" s="7"/>
    </row>
    <row r="146" spans="2:15" ht="14">
      <c r="C146" s="27" t="s">
        <v>115</v>
      </c>
      <c r="D146" s="29"/>
      <c r="E146" s="29">
        <f t="shared" ref="E146:L146" si="56">E22</f>
        <v>4000</v>
      </c>
      <c r="F146" s="29">
        <f t="shared" si="56"/>
        <v>2000</v>
      </c>
      <c r="G146" s="29">
        <f t="shared" si="56"/>
        <v>1000</v>
      </c>
      <c r="H146" s="29">
        <f t="shared" si="56"/>
        <v>0</v>
      </c>
      <c r="I146" s="29">
        <f t="shared" si="56"/>
        <v>0</v>
      </c>
      <c r="J146" s="29">
        <f t="shared" si="56"/>
        <v>0</v>
      </c>
      <c r="K146" s="29">
        <f t="shared" si="56"/>
        <v>0</v>
      </c>
      <c r="L146" s="29">
        <f t="shared" si="56"/>
        <v>5000</v>
      </c>
    </row>
    <row r="147" spans="2:15" ht="14">
      <c r="C147" s="23" t="s">
        <v>15</v>
      </c>
      <c r="D147" s="28"/>
      <c r="E147" s="28">
        <f t="shared" ref="E147:L147" si="57">E143-E146+E145</f>
        <v>2460</v>
      </c>
      <c r="F147" s="28">
        <f t="shared" si="57"/>
        <v>-9490</v>
      </c>
      <c r="G147" s="28">
        <f t="shared" si="57"/>
        <v>18410</v>
      </c>
      <c r="H147" s="28">
        <f t="shared" si="57"/>
        <v>4190</v>
      </c>
      <c r="I147" s="28">
        <f t="shared" si="57"/>
        <v>-9840</v>
      </c>
      <c r="J147" s="28">
        <f t="shared" si="57"/>
        <v>-7640</v>
      </c>
      <c r="K147" s="28">
        <f t="shared" si="57"/>
        <v>11740</v>
      </c>
      <c r="L147" s="28">
        <f t="shared" si="57"/>
        <v>6670</v>
      </c>
    </row>
    <row r="148" spans="2:15" ht="14">
      <c r="C148" s="23" t="s">
        <v>104</v>
      </c>
      <c r="D148" s="28"/>
      <c r="E148" s="28">
        <f t="shared" ref="E148:L148" si="58">E70-D70</f>
        <v>2460</v>
      </c>
      <c r="F148" s="28">
        <f t="shared" si="58"/>
        <v>-9490</v>
      </c>
      <c r="G148" s="28">
        <f t="shared" si="58"/>
        <v>18410</v>
      </c>
      <c r="H148" s="28">
        <f t="shared" si="58"/>
        <v>4190</v>
      </c>
      <c r="I148" s="28">
        <f t="shared" si="58"/>
        <v>-9840</v>
      </c>
      <c r="J148" s="28">
        <f t="shared" si="58"/>
        <v>-7640</v>
      </c>
      <c r="K148" s="28">
        <f t="shared" si="58"/>
        <v>11740</v>
      </c>
      <c r="L148" s="28">
        <f t="shared" si="58"/>
        <v>6670</v>
      </c>
    </row>
    <row r="150" spans="2:15">
      <c r="C150" s="6"/>
      <c r="E150" s="7"/>
      <c r="F150" s="7"/>
      <c r="G150" s="7"/>
      <c r="H150" s="7"/>
      <c r="I150" s="7"/>
      <c r="J150" s="7"/>
      <c r="K150" s="7"/>
      <c r="L150" s="7"/>
      <c r="N150" s="2"/>
    </row>
    <row r="151" spans="2:15">
      <c r="C151" s="6"/>
      <c r="E151" s="7"/>
      <c r="F151" s="7"/>
      <c r="G151" s="7"/>
      <c r="H151" s="7"/>
      <c r="I151" s="7"/>
      <c r="J151" s="7"/>
      <c r="K151" s="7"/>
      <c r="L151" s="7"/>
      <c r="N151" s="2"/>
    </row>
    <row r="152" spans="2:15" ht="17">
      <c r="B152" s="20" t="s">
        <v>8</v>
      </c>
      <c r="C152" s="6"/>
      <c r="E152" s="7"/>
      <c r="F152" s="7"/>
      <c r="G152" s="7"/>
      <c r="H152" s="7"/>
      <c r="I152" s="7"/>
      <c r="J152" s="7"/>
      <c r="K152" s="7"/>
      <c r="L152" s="7"/>
      <c r="N152" s="2"/>
    </row>
    <row r="153" spans="2:15" outlineLevel="1">
      <c r="C153" s="6"/>
      <c r="E153" s="7"/>
      <c r="F153" s="7"/>
      <c r="G153" s="7"/>
      <c r="H153" s="7"/>
      <c r="I153" s="7"/>
      <c r="J153" s="7"/>
      <c r="K153" s="7"/>
      <c r="L153" s="7"/>
      <c r="N153" s="2"/>
    </row>
    <row r="154" spans="2:15" ht="14" outlineLevel="1">
      <c r="B154" s="41" t="s">
        <v>27</v>
      </c>
      <c r="C154" s="42"/>
      <c r="D154" s="21">
        <v>2005</v>
      </c>
      <c r="E154" s="21">
        <v>2006</v>
      </c>
      <c r="F154" s="21">
        <v>2007</v>
      </c>
      <c r="G154" s="21">
        <v>2008</v>
      </c>
      <c r="H154" s="21">
        <v>2009</v>
      </c>
      <c r="I154" s="21">
        <v>2010</v>
      </c>
      <c r="J154" s="21">
        <v>2011</v>
      </c>
      <c r="K154" s="21">
        <v>2012</v>
      </c>
      <c r="L154" s="21">
        <v>2013</v>
      </c>
    </row>
    <row r="155" spans="2:15" ht="14" outlineLevel="1">
      <c r="C155" s="24" t="s">
        <v>80</v>
      </c>
      <c r="E155" s="30">
        <v>210</v>
      </c>
      <c r="F155" s="30">
        <v>215</v>
      </c>
      <c r="G155" s="30">
        <v>232</v>
      </c>
      <c r="H155" s="30">
        <v>241</v>
      </c>
      <c r="I155" s="30">
        <v>290</v>
      </c>
      <c r="J155" s="30">
        <v>285</v>
      </c>
      <c r="K155" s="30">
        <v>265</v>
      </c>
      <c r="L155" s="30">
        <v>265</v>
      </c>
    </row>
    <row r="156" spans="2:15" ht="14" outlineLevel="1">
      <c r="C156" s="35" t="s">
        <v>19</v>
      </c>
      <c r="E156" s="48">
        <f>E10/E155</f>
        <v>62.952380952380949</v>
      </c>
      <c r="F156" s="48">
        <f>F10/F155</f>
        <v>65.720930232558146</v>
      </c>
      <c r="G156" s="48">
        <f>G10/G155</f>
        <v>65.34482758620689</v>
      </c>
      <c r="H156" s="48">
        <f>H10/H155</f>
        <v>68.713692946058089</v>
      </c>
      <c r="I156" s="48">
        <f>I10/I155</f>
        <v>71.34482758620689</v>
      </c>
      <c r="J156" s="48">
        <f>J10/J155</f>
        <v>73.649122807017548</v>
      </c>
      <c r="K156" s="48">
        <f>K10/K155</f>
        <v>71.622641509433961</v>
      </c>
      <c r="L156" s="48">
        <f>L10/L155</f>
        <v>71.283018867924525</v>
      </c>
    </row>
    <row r="157" spans="2:15" outlineLevel="1"/>
    <row r="158" spans="2:15" ht="14" outlineLevel="1">
      <c r="B158" s="41" t="s">
        <v>28</v>
      </c>
      <c r="C158" s="42"/>
      <c r="D158" s="21">
        <v>2005</v>
      </c>
      <c r="E158" s="21">
        <v>2006</v>
      </c>
      <c r="F158" s="21">
        <v>2007</v>
      </c>
      <c r="G158" s="21">
        <v>2008</v>
      </c>
      <c r="H158" s="21">
        <v>2009</v>
      </c>
      <c r="I158" s="21">
        <v>2010</v>
      </c>
      <c r="J158" s="21">
        <v>2011</v>
      </c>
      <c r="K158" s="21">
        <v>2012</v>
      </c>
      <c r="L158" s="21">
        <v>2013</v>
      </c>
    </row>
    <row r="159" spans="2:15" ht="14" outlineLevel="1">
      <c r="C159" s="24" t="s">
        <v>112</v>
      </c>
      <c r="D159" s="16"/>
      <c r="E159" s="54">
        <f>E141/E17</f>
        <v>0.58494031221303944</v>
      </c>
      <c r="F159" s="54">
        <f>F141/F17</f>
        <v>-0.6918767507002801</v>
      </c>
      <c r="G159" s="54">
        <f>G141/G17</f>
        <v>5.224324324324324</v>
      </c>
      <c r="H159" s="54">
        <f>H141/H17</f>
        <v>0.52578616352201257</v>
      </c>
      <c r="I159" s="54">
        <f>I141/I17</f>
        <v>3.6344086021505375</v>
      </c>
      <c r="J159" s="54">
        <f>J141/J17</f>
        <v>5.0256410256410255</v>
      </c>
      <c r="K159" s="54">
        <f>K141/K17</f>
        <v>-3.3643835616438356</v>
      </c>
      <c r="L159" s="54">
        <f>L141/L15</f>
        <v>0.91817466561762395</v>
      </c>
      <c r="N159" s="2"/>
    </row>
    <row r="160" spans="2:15" ht="14" outlineLevel="1">
      <c r="C160" s="35" t="s">
        <v>51</v>
      </c>
      <c r="E160" s="53">
        <f>SUM(E141:H141)/SUM(E17:H17)</f>
        <v>0.6757894736842105</v>
      </c>
    </row>
    <row r="161" spans="2:13" ht="14" outlineLevel="1">
      <c r="C161" s="35" t="s">
        <v>18</v>
      </c>
      <c r="E161" s="53">
        <f>SUM(E141:L141)/SUM(E17:L17)</f>
        <v>0.27669270833333331</v>
      </c>
    </row>
    <row r="162" spans="2:13" outlineLevel="1"/>
    <row r="163" spans="2:13" ht="14" outlineLevel="1">
      <c r="B163" s="41" t="s">
        <v>29</v>
      </c>
      <c r="C163" s="42"/>
      <c r="D163" s="21">
        <v>2005</v>
      </c>
      <c r="E163" s="21">
        <v>2006</v>
      </c>
      <c r="F163" s="21">
        <v>2007</v>
      </c>
      <c r="G163" s="21">
        <v>2008</v>
      </c>
      <c r="H163" s="21">
        <v>2009</v>
      </c>
      <c r="I163" s="21">
        <v>2010</v>
      </c>
      <c r="J163" s="21">
        <v>2011</v>
      </c>
      <c r="K163" s="21">
        <v>2012</v>
      </c>
      <c r="L163" s="21">
        <v>2013</v>
      </c>
      <c r="M163" s="32" t="s">
        <v>102</v>
      </c>
    </row>
    <row r="164" spans="2:13" ht="9" customHeight="1" outlineLevel="1"/>
    <row r="165" spans="2:13" ht="14" outlineLevel="1">
      <c r="C165" s="24" t="s">
        <v>30</v>
      </c>
      <c r="E165" s="30">
        <f t="shared" ref="E165:L165" si="59">E23</f>
        <v>3720</v>
      </c>
      <c r="F165" s="30">
        <f t="shared" si="59"/>
        <v>5800</v>
      </c>
      <c r="G165" s="30">
        <f t="shared" si="59"/>
        <v>1010</v>
      </c>
      <c r="H165" s="30">
        <f t="shared" si="59"/>
        <v>5970</v>
      </c>
      <c r="I165" s="30">
        <f t="shared" si="59"/>
        <v>-5460</v>
      </c>
      <c r="J165" s="30">
        <f t="shared" si="59"/>
        <v>-3760</v>
      </c>
      <c r="K165" s="30">
        <f t="shared" si="59"/>
        <v>-4150</v>
      </c>
      <c r="L165" s="30">
        <f t="shared" si="59"/>
        <v>4710</v>
      </c>
    </row>
    <row r="166" spans="2:13" ht="14" outlineLevel="1">
      <c r="C166" s="24" t="s">
        <v>31</v>
      </c>
      <c r="E166" s="30">
        <f t="shared" ref="E166:L166" si="60">E22</f>
        <v>4000</v>
      </c>
      <c r="F166" s="30">
        <f t="shared" si="60"/>
        <v>2000</v>
      </c>
      <c r="G166" s="30">
        <f t="shared" si="60"/>
        <v>1000</v>
      </c>
      <c r="H166" s="30">
        <f t="shared" si="60"/>
        <v>0</v>
      </c>
      <c r="I166" s="30">
        <f t="shared" si="60"/>
        <v>0</v>
      </c>
      <c r="J166" s="30">
        <f t="shared" si="60"/>
        <v>0</v>
      </c>
      <c r="K166" s="30">
        <f t="shared" si="60"/>
        <v>0</v>
      </c>
      <c r="L166" s="30">
        <f t="shared" si="60"/>
        <v>5000</v>
      </c>
    </row>
    <row r="167" spans="2:13" outlineLevel="1"/>
    <row r="168" spans="2:13" ht="14" outlineLevel="1">
      <c r="C168" s="27" t="s">
        <v>32</v>
      </c>
      <c r="D168" s="29">
        <f>D81</f>
        <v>21600</v>
      </c>
      <c r="E168" s="29">
        <f t="shared" ref="E168:L168" si="61">D168+E165+E166</f>
        <v>29320</v>
      </c>
      <c r="F168" s="29">
        <f t="shared" si="61"/>
        <v>37120</v>
      </c>
      <c r="G168" s="29">
        <f t="shared" si="61"/>
        <v>39130</v>
      </c>
      <c r="H168" s="29">
        <f t="shared" si="61"/>
        <v>45100</v>
      </c>
      <c r="I168" s="29">
        <f t="shared" si="61"/>
        <v>39640</v>
      </c>
      <c r="J168" s="29">
        <f t="shared" si="61"/>
        <v>35880</v>
      </c>
      <c r="K168" s="29">
        <f t="shared" si="61"/>
        <v>31730</v>
      </c>
      <c r="L168" s="29">
        <f t="shared" si="61"/>
        <v>41440</v>
      </c>
      <c r="M168" s="43">
        <f>(L168/D168)^(1/8)-1</f>
        <v>8.4852638163563032E-2</v>
      </c>
    </row>
    <row r="169" spans="2:13" outlineLevel="1"/>
    <row r="170" spans="2:13" ht="14" outlineLevel="1">
      <c r="C170" s="35" t="s">
        <v>33</v>
      </c>
      <c r="E170" s="39">
        <f>E168/D168-1</f>
        <v>0.3574074074074074</v>
      </c>
      <c r="F170" s="39">
        <f t="shared" ref="F170:L170" si="62">F168/E168-1</f>
        <v>0.26603001364256484</v>
      </c>
      <c r="G170" s="39">
        <f t="shared" si="62"/>
        <v>5.4148706896551824E-2</v>
      </c>
      <c r="H170" s="39">
        <f t="shared" si="62"/>
        <v>0.15256836187068745</v>
      </c>
      <c r="I170" s="39">
        <f t="shared" si="62"/>
        <v>-0.12106430155210646</v>
      </c>
      <c r="J170" s="39">
        <f t="shared" si="62"/>
        <v>-9.4853683148334977E-2</v>
      </c>
      <c r="K170" s="39">
        <f t="shared" si="62"/>
        <v>-0.11566332218506137</v>
      </c>
      <c r="L170" s="39">
        <f t="shared" si="62"/>
        <v>0.30601953986763308</v>
      </c>
    </row>
    <row r="171" spans="2:13" outlineLevel="1"/>
    <row r="172" spans="2:13" ht="14" outlineLevel="1">
      <c r="B172" s="41" t="s">
        <v>81</v>
      </c>
      <c r="C172" s="42"/>
      <c r="D172" s="21">
        <v>2005</v>
      </c>
      <c r="E172" s="21">
        <v>2006</v>
      </c>
      <c r="F172" s="21">
        <v>2007</v>
      </c>
      <c r="G172" s="21">
        <v>2008</v>
      </c>
      <c r="H172" s="21">
        <v>2009</v>
      </c>
      <c r="I172" s="21">
        <v>2010</v>
      </c>
      <c r="J172" s="21">
        <v>2011</v>
      </c>
      <c r="K172" s="21">
        <v>2012</v>
      </c>
      <c r="L172" s="21">
        <v>2013</v>
      </c>
      <c r="M172" s="32" t="s">
        <v>86</v>
      </c>
    </row>
    <row r="173" spans="2:13" ht="9" customHeight="1" outlineLevel="1"/>
    <row r="174" spans="2:13" ht="14" outlineLevel="1">
      <c r="C174" s="24" t="s">
        <v>82</v>
      </c>
      <c r="E174" s="30">
        <f t="shared" ref="E174:L174" si="63">E141</f>
        <v>6370</v>
      </c>
      <c r="F174" s="30">
        <f t="shared" si="63"/>
        <v>-7410</v>
      </c>
      <c r="G174" s="30">
        <f t="shared" si="63"/>
        <v>19330</v>
      </c>
      <c r="H174" s="30">
        <f t="shared" si="63"/>
        <v>4180</v>
      </c>
      <c r="I174" s="30">
        <f t="shared" si="63"/>
        <v>-20280</v>
      </c>
      <c r="J174" s="30">
        <f t="shared" si="63"/>
        <v>-17640</v>
      </c>
      <c r="K174" s="30">
        <f t="shared" si="63"/>
        <v>12280</v>
      </c>
      <c r="L174" s="30">
        <f t="shared" si="63"/>
        <v>11670</v>
      </c>
    </row>
    <row r="175" spans="2:13" ht="14" outlineLevel="1">
      <c r="C175" s="27" t="s">
        <v>84</v>
      </c>
      <c r="E175" s="29">
        <f>E174</f>
        <v>6370</v>
      </c>
      <c r="F175" s="29">
        <f t="shared" ref="F175:L175" si="64">E175+F174</f>
        <v>-1040</v>
      </c>
      <c r="G175" s="29">
        <f t="shared" si="64"/>
        <v>18290</v>
      </c>
      <c r="H175" s="29">
        <f t="shared" si="64"/>
        <v>22470</v>
      </c>
      <c r="I175" s="29">
        <f t="shared" si="64"/>
        <v>2190</v>
      </c>
      <c r="J175" s="29">
        <f t="shared" si="64"/>
        <v>-15450</v>
      </c>
      <c r="K175" s="29">
        <f t="shared" si="64"/>
        <v>-3170</v>
      </c>
      <c r="L175" s="29">
        <f t="shared" si="64"/>
        <v>8500</v>
      </c>
      <c r="M175" s="43">
        <f>(L175/E175)^(1/7)-1</f>
        <v>4.2070425293929237E-2</v>
      </c>
    </row>
    <row r="176" spans="2:13" ht="9" customHeight="1" outlineLevel="1"/>
    <row r="177" spans="3:13" ht="14" outlineLevel="1">
      <c r="C177" s="24" t="s">
        <v>83</v>
      </c>
      <c r="E177" s="30">
        <f>E6</f>
        <v>46500</v>
      </c>
      <c r="F177" s="30">
        <f t="shared" ref="F177:L177" si="65">F6</f>
        <v>55930</v>
      </c>
      <c r="G177" s="30">
        <f t="shared" si="65"/>
        <v>52290</v>
      </c>
      <c r="H177" s="30">
        <f t="shared" si="65"/>
        <v>51210</v>
      </c>
      <c r="I177" s="30">
        <f t="shared" si="65"/>
        <v>56150</v>
      </c>
      <c r="J177" s="30">
        <f t="shared" si="65"/>
        <v>78540</v>
      </c>
      <c r="K177" s="30">
        <f t="shared" si="65"/>
        <v>59350</v>
      </c>
      <c r="L177" s="30">
        <f t="shared" si="65"/>
        <v>72000</v>
      </c>
    </row>
    <row r="178" spans="3:13" ht="14" outlineLevel="1">
      <c r="C178" s="27" t="s">
        <v>85</v>
      </c>
      <c r="E178" s="29">
        <f>E177</f>
        <v>46500</v>
      </c>
      <c r="F178" s="29">
        <f t="shared" ref="F178:L178" si="66">E178+F177</f>
        <v>102430</v>
      </c>
      <c r="G178" s="29">
        <f t="shared" si="66"/>
        <v>154720</v>
      </c>
      <c r="H178" s="29">
        <f t="shared" si="66"/>
        <v>205930</v>
      </c>
      <c r="I178" s="29">
        <f t="shared" si="66"/>
        <v>262080</v>
      </c>
      <c r="J178" s="29">
        <f t="shared" si="66"/>
        <v>340620</v>
      </c>
      <c r="K178" s="29">
        <f t="shared" si="66"/>
        <v>399970</v>
      </c>
      <c r="L178" s="29">
        <f t="shared" si="66"/>
        <v>471970</v>
      </c>
      <c r="M178" s="43">
        <f>(L178/E178)^(1/7)-1</f>
        <v>0.3924519122184511</v>
      </c>
    </row>
    <row r="179" spans="3:13" outlineLevel="1"/>
    <row r="180" spans="3:13" ht="16" customHeight="1" outlineLevel="1">
      <c r="C180" s="35" t="s">
        <v>87</v>
      </c>
      <c r="E180" s="39">
        <f>E175/E178</f>
        <v>0.13698924731182796</v>
      </c>
      <c r="F180" s="39">
        <f t="shared" ref="F180:L180" si="67">F175/F178</f>
        <v>-1.0153275407595431E-2</v>
      </c>
      <c r="G180" s="39">
        <f t="shared" si="67"/>
        <v>0.11821354705274044</v>
      </c>
      <c r="H180" s="39">
        <f t="shared" si="67"/>
        <v>0.1091147477298111</v>
      </c>
      <c r="I180" s="39">
        <f t="shared" si="67"/>
        <v>8.356227106227106E-3</v>
      </c>
      <c r="J180" s="39">
        <f t="shared" si="67"/>
        <v>-4.5358463977452877E-2</v>
      </c>
      <c r="K180" s="39">
        <f t="shared" si="67"/>
        <v>-7.9255944195814679E-3</v>
      </c>
      <c r="L180" s="39">
        <f t="shared" si="67"/>
        <v>1.8009619255461153E-2</v>
      </c>
    </row>
    <row r="181" spans="3:13" outlineLevel="1"/>
    <row r="184" spans="3:13" ht="16"/>
    <row r="185" spans="3:13" ht="16"/>
    <row r="186" spans="3:13" ht="16"/>
    <row r="187" spans="3:13" ht="16"/>
  </sheetData>
  <sheetCalcPr fullCalcOnLoad="1"/>
  <phoneticPr fontId="1" type="noConversion"/>
  <pageMargins left="0.75" right="0.75" top="1" bottom="1" header="0.4921259845" footer="0.492125984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Analysis of Historical data</vt:lpstr>
    </vt:vector>
  </TitlesOfParts>
  <Manager/>
  <Company>INVESTAURA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Pierre Lurin</cp:lastModifiedBy>
  <dcterms:created xsi:type="dcterms:W3CDTF">2013-01-29T17:26:39Z</dcterms:created>
  <dcterms:modified xsi:type="dcterms:W3CDTF">2014-03-27T10:40:47Z</dcterms:modified>
  <cp:category/>
</cp:coreProperties>
</file>